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6105" yWindow="0" windowWidth="29040" windowHeight="18240" tabRatio="864" firstSheet="2" activeTab="8"/>
  </bookViews>
  <sheets>
    <sheet name="Leaf Area Index" sheetId="1" r:id="rId1"/>
    <sheet name="Percent Canopy Closure" sheetId="3" r:id="rId2"/>
    <sheet name="SM10cm" sheetId="15" r:id="rId3"/>
    <sheet name="SM20cm" sheetId="16" r:id="rId4"/>
    <sheet name="SM40cm" sheetId="17" r:id="rId5"/>
    <sheet name="SM60cm" sheetId="11" r:id="rId6"/>
    <sheet name="SM80cm" sheetId="12" r:id="rId7"/>
    <sheet name="SM100cm" sheetId="13" r:id="rId8"/>
    <sheet name="Deepest" sheetId="31" r:id="rId9"/>
  </sheets>
  <definedNames>
    <definedName name="_xlnm._FilterDatabase" localSheetId="0" hidden="1">'Leaf Area Index'!$O$1:$O$119</definedName>
    <definedName name="_xlnm._FilterDatabase" localSheetId="1" hidden="1">'Percent Canopy Closure'!$S$1:$T$113</definedName>
    <definedName name="_xlnm._FilterDatabase" localSheetId="5" hidden="1">SM60cm!$D$1:$M$107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Z102" i="13" l="1"/>
  <c r="BY102" i="13"/>
  <c r="BZ99" i="13"/>
  <c r="BY99" i="13"/>
  <c r="BZ94" i="13"/>
  <c r="BY94" i="13"/>
  <c r="BZ90" i="13"/>
  <c r="BY90" i="13"/>
  <c r="BZ89" i="13"/>
  <c r="BZ88" i="13"/>
  <c r="BY88" i="13"/>
  <c r="BZ87" i="13"/>
  <c r="BZ86" i="13"/>
  <c r="BY86" i="13"/>
  <c r="BZ76" i="13"/>
  <c r="BY76" i="13"/>
  <c r="BZ75" i="13"/>
  <c r="BZ74" i="13"/>
  <c r="BY74" i="13"/>
  <c r="BZ72" i="13"/>
  <c r="BY72" i="13"/>
  <c r="BZ70" i="13"/>
  <c r="BZ69" i="13"/>
  <c r="BZ66" i="13"/>
  <c r="BY66" i="13"/>
  <c r="BZ65" i="13"/>
  <c r="BY65" i="13"/>
  <c r="BZ64" i="13"/>
  <c r="BY64" i="13"/>
  <c r="BZ63" i="13"/>
  <c r="BY63" i="13"/>
  <c r="BZ62" i="13"/>
  <c r="BY62" i="13"/>
  <c r="BZ61" i="13"/>
  <c r="BY61" i="13"/>
  <c r="BZ60" i="13"/>
  <c r="BY60" i="13"/>
  <c r="BZ54" i="13"/>
  <c r="BY54" i="13"/>
  <c r="BZ53" i="13"/>
  <c r="BY53" i="13"/>
  <c r="BZ47" i="13"/>
  <c r="BY47" i="13"/>
  <c r="BZ41" i="13"/>
  <c r="BY41" i="13"/>
  <c r="BZ37" i="13"/>
  <c r="BY37" i="13"/>
  <c r="BZ36" i="13"/>
  <c r="BZ30" i="13"/>
  <c r="BY30" i="13"/>
  <c r="BZ29" i="13"/>
  <c r="BY29" i="13"/>
  <c r="BZ28" i="13"/>
  <c r="BY28" i="13"/>
  <c r="BZ27" i="13"/>
  <c r="BY27" i="13"/>
  <c r="BZ23" i="13"/>
  <c r="BZ22" i="13"/>
  <c r="BY22" i="13"/>
  <c r="BZ20" i="13"/>
  <c r="BY20" i="13"/>
  <c r="BZ18" i="13"/>
  <c r="BZ17" i="13"/>
  <c r="BY17" i="13"/>
  <c r="BZ2" i="13"/>
  <c r="BZ102" i="12"/>
  <c r="BY102" i="12"/>
  <c r="BZ101" i="12"/>
  <c r="BY101" i="12"/>
  <c r="BZ99" i="12"/>
  <c r="BY99" i="12"/>
  <c r="BZ94" i="12"/>
  <c r="BY94" i="12"/>
  <c r="BZ90" i="12"/>
  <c r="BY90" i="12"/>
  <c r="BZ89" i="12"/>
  <c r="BY89" i="12"/>
  <c r="BZ88" i="12"/>
  <c r="BY88" i="12"/>
  <c r="BZ87" i="12"/>
  <c r="BY87" i="12"/>
  <c r="BZ86" i="12"/>
  <c r="BY86" i="12"/>
  <c r="BZ76" i="12"/>
  <c r="BY76" i="12"/>
  <c r="BZ75" i="12"/>
  <c r="BY75" i="12"/>
  <c r="BZ74" i="12"/>
  <c r="BY74" i="12"/>
  <c r="BZ73" i="12"/>
  <c r="BY73" i="12"/>
  <c r="BZ72" i="12"/>
  <c r="BY72" i="12"/>
  <c r="BZ70" i="12"/>
  <c r="BY70" i="12"/>
  <c r="BZ69" i="12"/>
  <c r="BY69" i="12"/>
  <c r="BY68" i="12"/>
  <c r="BZ66" i="12"/>
  <c r="BY66" i="12"/>
  <c r="BZ65" i="12"/>
  <c r="BZ64" i="12"/>
  <c r="BY64" i="12"/>
  <c r="BZ63" i="12"/>
  <c r="BY63" i="12"/>
  <c r="BZ62" i="12"/>
  <c r="BY62" i="12"/>
  <c r="BZ61" i="12"/>
  <c r="BY61" i="12"/>
  <c r="BZ60" i="12"/>
  <c r="BY60" i="12"/>
  <c r="BZ54" i="12"/>
  <c r="BY54" i="12"/>
  <c r="BZ53" i="12"/>
  <c r="BY53" i="12"/>
  <c r="BZ47" i="12"/>
  <c r="BY47" i="12"/>
  <c r="BZ41" i="12"/>
  <c r="BY41" i="12"/>
  <c r="BY37" i="12"/>
  <c r="BZ36" i="12"/>
  <c r="BY36" i="12"/>
  <c r="BZ31" i="12"/>
  <c r="BY31" i="12"/>
  <c r="BZ30" i="12"/>
  <c r="BY30" i="12"/>
  <c r="BZ29" i="12"/>
  <c r="BY29" i="12"/>
  <c r="BZ28" i="12"/>
  <c r="BY28" i="12"/>
  <c r="BZ27" i="12"/>
  <c r="BY27" i="12"/>
  <c r="BZ26" i="12"/>
  <c r="BY26" i="12"/>
  <c r="BZ24" i="12"/>
  <c r="BZ23" i="12"/>
  <c r="BY23" i="12"/>
  <c r="BZ22" i="12"/>
  <c r="BY22" i="12"/>
  <c r="BZ20" i="12"/>
  <c r="BY20" i="12"/>
  <c r="BZ18" i="12"/>
  <c r="BY18" i="12"/>
  <c r="BZ17" i="12"/>
  <c r="BY17" i="12"/>
  <c r="BZ2" i="12"/>
  <c r="BY2" i="12"/>
  <c r="BZ107" i="11"/>
  <c r="BZ102" i="11"/>
  <c r="BY102" i="11"/>
  <c r="BZ101" i="11"/>
  <c r="BZ99" i="11"/>
  <c r="BY99" i="11"/>
  <c r="BZ97" i="11"/>
  <c r="BY97" i="11"/>
  <c r="BZ94" i="11"/>
  <c r="BY94" i="11"/>
  <c r="BZ90" i="11"/>
  <c r="BY90" i="11"/>
  <c r="BZ89" i="11"/>
  <c r="BY89" i="11"/>
  <c r="BZ88" i="11"/>
  <c r="BY88" i="11"/>
  <c r="BZ87" i="11"/>
  <c r="BY87" i="11"/>
  <c r="BZ86" i="11"/>
  <c r="BY86" i="11"/>
  <c r="BZ76" i="11"/>
  <c r="BY76" i="11"/>
  <c r="BZ75" i="11"/>
  <c r="BY75" i="11"/>
  <c r="BZ74" i="11"/>
  <c r="BY74" i="11"/>
  <c r="BZ73" i="11"/>
  <c r="BY73" i="11"/>
  <c r="BZ72" i="11"/>
  <c r="BY72" i="11"/>
  <c r="BZ70" i="11"/>
  <c r="BY70" i="11"/>
  <c r="BZ69" i="11"/>
  <c r="BY69" i="11"/>
  <c r="BY68" i="11"/>
  <c r="BZ66" i="11"/>
  <c r="BY66" i="11"/>
  <c r="BZ65" i="11"/>
  <c r="BY65" i="11"/>
  <c r="BZ64" i="11"/>
  <c r="BY64" i="11"/>
  <c r="BZ63" i="11"/>
  <c r="BY63" i="11"/>
  <c r="BY62" i="11"/>
  <c r="BZ61" i="11"/>
  <c r="BY61" i="11"/>
  <c r="BZ60" i="11"/>
  <c r="BY60" i="11"/>
  <c r="BZ54" i="11"/>
  <c r="BY54" i="11"/>
  <c r="BZ53" i="11"/>
  <c r="BY53" i="11"/>
  <c r="BZ47" i="11"/>
  <c r="BY47" i="11"/>
  <c r="BZ43" i="11"/>
  <c r="BY43" i="11"/>
  <c r="BZ41" i="11"/>
  <c r="BY41" i="11"/>
  <c r="BZ37" i="11"/>
  <c r="BY37" i="11"/>
  <c r="BZ36" i="11"/>
  <c r="BY36" i="11"/>
  <c r="BZ31" i="11"/>
  <c r="BY31" i="11"/>
  <c r="BZ30" i="11"/>
  <c r="BY30" i="11"/>
  <c r="BZ29" i="11"/>
  <c r="BY29" i="11"/>
  <c r="BZ28" i="11"/>
  <c r="BY28" i="11"/>
  <c r="BZ27" i="11"/>
  <c r="BY27" i="11"/>
  <c r="BZ26" i="11"/>
  <c r="BY26" i="11"/>
  <c r="BZ24" i="11"/>
  <c r="BZ23" i="11"/>
  <c r="BY23" i="11"/>
  <c r="BZ22" i="11"/>
  <c r="BY22" i="11"/>
  <c r="BZ21" i="11"/>
  <c r="BY21" i="11"/>
  <c r="BZ20" i="11"/>
  <c r="BY20" i="11"/>
  <c r="BZ19" i="11"/>
  <c r="BY19" i="11"/>
  <c r="BZ18" i="11"/>
  <c r="BY18" i="11"/>
  <c r="BZ17" i="11"/>
  <c r="BY17" i="11"/>
  <c r="BZ5" i="11"/>
  <c r="BY5" i="11"/>
  <c r="BZ3" i="11"/>
  <c r="BY3" i="11"/>
  <c r="BZ2" i="11"/>
  <c r="BY2" i="11"/>
  <c r="BZ107" i="17"/>
  <c r="BY107" i="17"/>
  <c r="BZ102" i="17"/>
  <c r="BY102" i="17"/>
  <c r="BY101" i="17"/>
  <c r="BZ99" i="17"/>
  <c r="BY99" i="17"/>
  <c r="BZ97" i="17"/>
  <c r="BY97" i="17"/>
  <c r="BZ94" i="17"/>
  <c r="BY94" i="17"/>
  <c r="BZ90" i="17"/>
  <c r="BY90" i="17"/>
  <c r="BZ89" i="17"/>
  <c r="BY89" i="17"/>
  <c r="BZ88" i="17"/>
  <c r="BY88" i="17"/>
  <c r="BZ87" i="17"/>
  <c r="BY87" i="17"/>
  <c r="BZ86" i="17"/>
  <c r="BY86" i="17"/>
  <c r="BZ76" i="17"/>
  <c r="BY76" i="17"/>
  <c r="BZ75" i="17"/>
  <c r="BY75" i="17"/>
  <c r="BZ74" i="17"/>
  <c r="BY74" i="17"/>
  <c r="BZ73" i="17"/>
  <c r="BY73" i="17"/>
  <c r="BZ72" i="17"/>
  <c r="BY72" i="17"/>
  <c r="BZ70" i="17"/>
  <c r="BY70" i="17"/>
  <c r="BZ69" i="17"/>
  <c r="BY69" i="17"/>
  <c r="BY68" i="17"/>
  <c r="BZ67" i="17"/>
  <c r="BY67" i="17"/>
  <c r="BZ66" i="17"/>
  <c r="BY66" i="17"/>
  <c r="BZ65" i="17"/>
  <c r="BY65" i="17"/>
  <c r="BZ64" i="17"/>
  <c r="BY64" i="17"/>
  <c r="BZ63" i="17"/>
  <c r="BY63" i="17"/>
  <c r="BZ62" i="17"/>
  <c r="BZ61" i="17"/>
  <c r="BY61" i="17"/>
  <c r="BZ60" i="17"/>
  <c r="BY60" i="17"/>
  <c r="BZ56" i="17"/>
  <c r="BY56" i="17"/>
  <c r="BZ55" i="17"/>
  <c r="BY55" i="17"/>
  <c r="BZ54" i="17"/>
  <c r="BY54" i="17"/>
  <c r="BZ53" i="17"/>
  <c r="BY53" i="17"/>
  <c r="BY49" i="17"/>
  <c r="BZ47" i="17"/>
  <c r="BY47" i="17"/>
  <c r="BZ43" i="17"/>
  <c r="BY43" i="17"/>
  <c r="BY41" i="17"/>
  <c r="BZ38" i="17"/>
  <c r="BY38" i="17"/>
  <c r="BZ37" i="17"/>
  <c r="BY37" i="17"/>
  <c r="BZ36" i="17"/>
  <c r="BY36" i="17"/>
  <c r="BZ31" i="17"/>
  <c r="BY31" i="17"/>
  <c r="BZ30" i="17"/>
  <c r="BY30" i="17"/>
  <c r="BZ29" i="17"/>
  <c r="BY29" i="17"/>
  <c r="BZ28" i="17"/>
  <c r="BY28" i="17"/>
  <c r="BZ27" i="17"/>
  <c r="BY27" i="17"/>
  <c r="BZ26" i="17"/>
  <c r="BY26" i="17"/>
  <c r="BZ23" i="17"/>
  <c r="BY23" i="17"/>
  <c r="BZ22" i="17"/>
  <c r="BY22" i="17"/>
  <c r="BZ21" i="17"/>
  <c r="BY21" i="17"/>
  <c r="BZ20" i="17"/>
  <c r="BY20" i="17"/>
  <c r="BZ19" i="17"/>
  <c r="BY19" i="17"/>
  <c r="BZ18" i="17"/>
  <c r="BY18" i="17"/>
  <c r="BZ17" i="17"/>
  <c r="BY17" i="17"/>
  <c r="BY6" i="17"/>
  <c r="BZ5" i="17"/>
  <c r="BY5" i="17"/>
  <c r="BZ4" i="17"/>
  <c r="BY4" i="17"/>
  <c r="BZ3" i="17"/>
  <c r="BY3" i="17"/>
  <c r="BZ2" i="17"/>
  <c r="BY2" i="17"/>
  <c r="BZ107" i="16"/>
  <c r="BY107" i="16"/>
  <c r="BZ105" i="16"/>
  <c r="BZ104" i="16"/>
  <c r="BY104" i="16"/>
  <c r="BZ103" i="16"/>
  <c r="BZ102" i="16"/>
  <c r="BY102" i="16"/>
  <c r="BZ101" i="16"/>
  <c r="BY101" i="16"/>
  <c r="BZ99" i="16"/>
  <c r="BY99" i="16"/>
  <c r="BZ97" i="16"/>
  <c r="BY97" i="16"/>
  <c r="BZ96" i="16"/>
  <c r="BY96" i="16"/>
  <c r="BZ94" i="16"/>
  <c r="BZ90" i="16"/>
  <c r="BY90" i="16"/>
  <c r="BZ89" i="16"/>
  <c r="BY89" i="16"/>
  <c r="BZ88" i="16"/>
  <c r="BY88" i="16"/>
  <c r="BZ87" i="16"/>
  <c r="BY87" i="16"/>
  <c r="BZ86" i="16"/>
  <c r="BZ85" i="16"/>
  <c r="BY85" i="16"/>
  <c r="BZ84" i="16"/>
  <c r="BY84" i="16"/>
  <c r="BZ83" i="16"/>
  <c r="BY83" i="16"/>
  <c r="BZ81" i="16"/>
  <c r="BY81" i="16"/>
  <c r="BZ76" i="16"/>
  <c r="BY76" i="16"/>
  <c r="BZ75" i="16"/>
  <c r="BY75" i="16"/>
  <c r="BZ74" i="16"/>
  <c r="BY74" i="16"/>
  <c r="BZ73" i="16"/>
  <c r="BY73" i="16"/>
  <c r="BZ72" i="16"/>
  <c r="BY72" i="16"/>
  <c r="BZ70" i="16"/>
  <c r="BY70" i="16"/>
  <c r="BZ69" i="16"/>
  <c r="BY69" i="16"/>
  <c r="BY68" i="16"/>
  <c r="BZ67" i="16"/>
  <c r="BY67" i="16"/>
  <c r="BZ66" i="16"/>
  <c r="BY66" i="16"/>
  <c r="BZ65" i="16"/>
  <c r="BY65" i="16"/>
  <c r="BZ64" i="16"/>
  <c r="BY64" i="16"/>
  <c r="BZ63" i="16"/>
  <c r="BY63" i="16"/>
  <c r="BZ62" i="16"/>
  <c r="BY62" i="16"/>
  <c r="BZ61" i="16"/>
  <c r="BY61" i="16"/>
  <c r="BZ60" i="16"/>
  <c r="BY60" i="16"/>
  <c r="BZ56" i="16"/>
  <c r="BY56" i="16"/>
  <c r="BZ55" i="16"/>
  <c r="BY55" i="16"/>
  <c r="BZ54" i="16"/>
  <c r="BY54" i="16"/>
  <c r="BZ53" i="16"/>
  <c r="BY53" i="16"/>
  <c r="BZ49" i="16"/>
  <c r="BY49" i="16"/>
  <c r="BZ47" i="16"/>
  <c r="BY47" i="16"/>
  <c r="BZ43" i="16"/>
  <c r="BY43" i="16"/>
  <c r="BZ41" i="16"/>
  <c r="BY41" i="16"/>
  <c r="BZ38" i="16"/>
  <c r="BY38" i="16"/>
  <c r="BZ37" i="16"/>
  <c r="BY37" i="16"/>
  <c r="BZ36" i="16"/>
  <c r="BY36" i="16"/>
  <c r="BZ31" i="16"/>
  <c r="BY31" i="16"/>
  <c r="BZ30" i="16"/>
  <c r="BY30" i="16"/>
  <c r="BZ29" i="16"/>
  <c r="BY29" i="16"/>
  <c r="BZ28" i="16"/>
  <c r="BY28" i="16"/>
  <c r="BZ27" i="16"/>
  <c r="BY27" i="16"/>
  <c r="BZ26" i="16"/>
  <c r="BY26" i="16"/>
  <c r="BZ25" i="16"/>
  <c r="BY25" i="16"/>
  <c r="BZ24" i="16"/>
  <c r="BZ23" i="16"/>
  <c r="BY23" i="16"/>
  <c r="BY22" i="16"/>
  <c r="BZ21" i="16"/>
  <c r="BY21" i="16"/>
  <c r="BZ20" i="16"/>
  <c r="BY20" i="16"/>
  <c r="BZ19" i="16"/>
  <c r="BY19" i="16"/>
  <c r="BZ18" i="16"/>
  <c r="BY18" i="16"/>
  <c r="BZ17" i="16"/>
  <c r="BY17" i="16"/>
  <c r="BY6" i="16"/>
  <c r="BZ5" i="16"/>
  <c r="BY5" i="16"/>
  <c r="BZ4" i="16"/>
  <c r="BY4" i="16"/>
  <c r="BZ3" i="16"/>
  <c r="BY3" i="16"/>
  <c r="BZ2" i="16"/>
  <c r="BY2" i="16"/>
  <c r="BZ107" i="15"/>
  <c r="BY107" i="15"/>
  <c r="BZ105" i="15"/>
  <c r="BZ104" i="15"/>
  <c r="BY104" i="15"/>
  <c r="BZ103" i="15"/>
  <c r="BZ102" i="15"/>
  <c r="BY102" i="15"/>
  <c r="BZ101" i="15"/>
  <c r="BY101" i="15"/>
  <c r="BZ99" i="15"/>
  <c r="BY99" i="15"/>
  <c r="BZ97" i="15"/>
  <c r="BY97" i="15"/>
  <c r="BZ96" i="15"/>
  <c r="BY96" i="15"/>
  <c r="BZ94" i="15"/>
  <c r="BY94" i="15"/>
  <c r="BZ90" i="15"/>
  <c r="BY90" i="15"/>
  <c r="BZ89" i="15"/>
  <c r="BY89" i="15"/>
  <c r="BZ88" i="15"/>
  <c r="BY88" i="15"/>
  <c r="BZ87" i="15"/>
  <c r="BY87" i="15"/>
  <c r="BZ86" i="15"/>
  <c r="BY86" i="15"/>
  <c r="BZ85" i="15"/>
  <c r="BY85" i="15"/>
  <c r="BZ84" i="15"/>
  <c r="BY84" i="15"/>
  <c r="BZ83" i="15"/>
  <c r="BY83" i="15"/>
  <c r="BZ81" i="15"/>
  <c r="BY81" i="15"/>
  <c r="BZ76" i="15"/>
  <c r="BY76" i="15"/>
  <c r="BZ75" i="15"/>
  <c r="BY75" i="15"/>
  <c r="BZ74" i="15"/>
  <c r="BY74" i="15"/>
  <c r="BZ73" i="15"/>
  <c r="BY73" i="15"/>
  <c r="BZ72" i="15"/>
  <c r="BY72" i="15"/>
  <c r="BZ70" i="15"/>
  <c r="BY70" i="15"/>
  <c r="BZ69" i="15"/>
  <c r="BY69" i="15"/>
  <c r="BY68" i="15"/>
  <c r="BZ67" i="15"/>
  <c r="BY67" i="15"/>
  <c r="BZ66" i="15"/>
  <c r="BY66" i="15"/>
  <c r="BZ65" i="15"/>
  <c r="BY65" i="15"/>
  <c r="BZ64" i="15"/>
  <c r="BY64" i="15"/>
  <c r="BZ63" i="15"/>
  <c r="BY63" i="15"/>
  <c r="BZ62" i="15"/>
  <c r="BY62" i="15"/>
  <c r="BZ61" i="15"/>
  <c r="BY61" i="15"/>
  <c r="BZ60" i="15"/>
  <c r="BY60" i="15"/>
  <c r="BZ56" i="15"/>
  <c r="BY56" i="15"/>
  <c r="BZ55" i="15"/>
  <c r="BY55" i="15"/>
  <c r="BZ54" i="15"/>
  <c r="BY54" i="15"/>
  <c r="BZ53" i="15"/>
  <c r="BY53" i="15"/>
  <c r="BZ49" i="15"/>
  <c r="BY49" i="15"/>
  <c r="BZ47" i="15"/>
  <c r="BY47" i="15"/>
  <c r="BZ43" i="15"/>
  <c r="BY43" i="15"/>
  <c r="BZ41" i="15"/>
  <c r="BY41" i="15"/>
  <c r="BZ38" i="15"/>
  <c r="BY38" i="15"/>
  <c r="BZ37" i="15"/>
  <c r="BY37" i="15"/>
  <c r="BZ36" i="15"/>
  <c r="BY36" i="15"/>
  <c r="BZ31" i="15"/>
  <c r="BY31" i="15"/>
  <c r="BZ30" i="15"/>
  <c r="BY30" i="15"/>
  <c r="BZ29" i="15"/>
  <c r="BY29" i="15"/>
  <c r="BZ28" i="15"/>
  <c r="BY28" i="15"/>
  <c r="BZ27" i="15"/>
  <c r="BY27" i="15"/>
  <c r="BZ26" i="15"/>
  <c r="BY26" i="15"/>
  <c r="BZ25" i="15"/>
  <c r="BY25" i="15"/>
  <c r="BZ24" i="15"/>
  <c r="BZ23" i="15"/>
  <c r="BY23" i="15"/>
  <c r="BY22" i="15"/>
  <c r="BZ21" i="15"/>
  <c r="BY21" i="15"/>
  <c r="BZ20" i="15"/>
  <c r="BY20" i="15"/>
  <c r="BZ19" i="15"/>
  <c r="BY19" i="15"/>
  <c r="BZ18" i="15"/>
  <c r="BY18" i="15"/>
  <c r="BZ17" i="15"/>
  <c r="BY17" i="15"/>
  <c r="BZ5" i="15"/>
  <c r="BZ4" i="15"/>
  <c r="BZ3" i="15"/>
  <c r="BZ2" i="15"/>
</calcChain>
</file>

<file path=xl/comments1.xml><?xml version="1.0" encoding="utf-8"?>
<comments xmlns="http://schemas.openxmlformats.org/spreadsheetml/2006/main">
  <authors>
    <author>kjn18</author>
  </authors>
  <commentList>
    <comment ref="A105" authorId="0">
      <text>
        <r>
          <rPr>
            <b/>
            <sz val="8"/>
            <color indexed="81"/>
            <rFont val="Tahoma"/>
            <charset val="1"/>
          </rPr>
          <t>kjn18:</t>
        </r>
        <r>
          <rPr>
            <sz val="8"/>
            <color indexed="81"/>
            <rFont val="Tahoma"/>
            <charset val="1"/>
          </rPr>
          <t xml:space="preserve">
There wer no coord infor for 74 B so Used 74 coordinates and changes one number in decimal point to avoid getting colocation error in modelingmodeling</t>
        </r>
      </text>
    </comment>
  </commentList>
</comments>
</file>

<file path=xl/comments2.xml><?xml version="1.0" encoding="utf-8"?>
<comments xmlns="http://schemas.openxmlformats.org/spreadsheetml/2006/main">
  <authors>
    <author>kjn18</author>
  </authors>
  <commentList>
    <comment ref="A105" authorId="0">
      <text>
        <r>
          <rPr>
            <b/>
            <sz val="8"/>
            <color indexed="81"/>
            <rFont val="Tahoma"/>
            <charset val="1"/>
          </rPr>
          <t>kjn18:</t>
        </r>
        <r>
          <rPr>
            <sz val="8"/>
            <color indexed="81"/>
            <rFont val="Tahoma"/>
            <charset val="1"/>
          </rPr>
          <t xml:space="preserve">
There wer no coord infor for 74 B so Used 74 coordinates and changes one number in decimal point to avoid getting colocation error in modelingmodeling</t>
        </r>
      </text>
    </comment>
  </commentList>
</comments>
</file>

<file path=xl/comments3.xml><?xml version="1.0" encoding="utf-8"?>
<comments xmlns="http://schemas.openxmlformats.org/spreadsheetml/2006/main">
  <authors>
    <author>kjn18</author>
  </authors>
  <commentList>
    <comment ref="A105" authorId="0">
      <text>
        <r>
          <rPr>
            <b/>
            <sz val="8"/>
            <color indexed="81"/>
            <rFont val="Tahoma"/>
            <charset val="1"/>
          </rPr>
          <t>kjn18:</t>
        </r>
        <r>
          <rPr>
            <sz val="8"/>
            <color indexed="81"/>
            <rFont val="Tahoma"/>
            <charset val="1"/>
          </rPr>
          <t xml:space="preserve">
There wer no coord infor for 74 B so Used 74 coordinates and changes one number in decimal point to avoid getting colocation error in modelingmodeling</t>
        </r>
      </text>
    </comment>
  </commentList>
</comments>
</file>

<file path=xl/comments4.xml><?xml version="1.0" encoding="utf-8"?>
<comments xmlns="http://schemas.openxmlformats.org/spreadsheetml/2006/main">
  <authors>
    <author>kjn18</author>
  </authors>
  <commentList>
    <comment ref="A105" authorId="0">
      <text>
        <r>
          <rPr>
            <b/>
            <sz val="8"/>
            <color indexed="81"/>
            <rFont val="Tahoma"/>
            <charset val="1"/>
          </rPr>
          <t>kjn18:</t>
        </r>
        <r>
          <rPr>
            <sz val="8"/>
            <color indexed="81"/>
            <rFont val="Tahoma"/>
            <charset val="1"/>
          </rPr>
          <t xml:space="preserve">
There wer no coord infor for 74 B so Used 74 coordinates and changes one number in decimal point to avoid getting colocation error in modelingmodeling</t>
        </r>
      </text>
    </comment>
    <comment ref="X105" authorId="0">
      <text>
        <r>
          <rPr>
            <b/>
            <sz val="8"/>
            <color indexed="81"/>
            <rFont val="Tahoma"/>
            <charset val="1"/>
          </rPr>
          <t>kjn18:</t>
        </r>
        <r>
          <rPr>
            <sz val="8"/>
            <color indexed="81"/>
            <rFont val="Tahoma"/>
            <charset val="1"/>
          </rPr>
          <t xml:space="preserve">
There wer no coord infor for 74 B so Used 74 coordinates and changes one number in decimal point to avoid getting colocation error in modelingmodeling</t>
        </r>
      </text>
    </comment>
  </commentList>
</comments>
</file>

<file path=xl/comments5.xml><?xml version="1.0" encoding="utf-8"?>
<comments xmlns="http://schemas.openxmlformats.org/spreadsheetml/2006/main">
  <authors>
    <author>kjn18</author>
  </authors>
  <commentList>
    <comment ref="A105" authorId="0">
      <text>
        <r>
          <rPr>
            <b/>
            <sz val="8"/>
            <color indexed="81"/>
            <rFont val="Tahoma"/>
            <charset val="1"/>
          </rPr>
          <t>kjn18:</t>
        </r>
        <r>
          <rPr>
            <sz val="8"/>
            <color indexed="81"/>
            <rFont val="Tahoma"/>
            <charset val="1"/>
          </rPr>
          <t xml:space="preserve">
There wer no coord infor for 74 B so Used 74 coordinates and changes one number in decimal point to avoid getting colocation error in modelingmodeling</t>
        </r>
      </text>
    </comment>
  </commentList>
</comments>
</file>

<file path=xl/comments6.xml><?xml version="1.0" encoding="utf-8"?>
<comments xmlns="http://schemas.openxmlformats.org/spreadsheetml/2006/main">
  <authors>
    <author>kjn18</author>
  </authors>
  <commentList>
    <comment ref="A105" authorId="0">
      <text>
        <r>
          <rPr>
            <b/>
            <sz val="8"/>
            <color indexed="81"/>
            <rFont val="Tahoma"/>
            <charset val="1"/>
          </rPr>
          <t>kjn18:</t>
        </r>
        <r>
          <rPr>
            <sz val="8"/>
            <color indexed="81"/>
            <rFont val="Tahoma"/>
            <charset val="1"/>
          </rPr>
          <t xml:space="preserve">
There wer no coord infor for 74 B so Used 74 coordinates and changes one number in decimal point to avoid getting colocation error in modelingmodeling</t>
        </r>
      </text>
    </comment>
  </commentList>
</comments>
</file>

<file path=xl/comments7.xml><?xml version="1.0" encoding="utf-8"?>
<comments xmlns="http://schemas.openxmlformats.org/spreadsheetml/2006/main">
  <authors>
    <author>kjn18</author>
  </authors>
  <commentList>
    <comment ref="A105" authorId="0">
      <text>
        <r>
          <rPr>
            <b/>
            <sz val="8"/>
            <color indexed="81"/>
            <rFont val="Tahoma"/>
            <charset val="1"/>
          </rPr>
          <t>kjn18:</t>
        </r>
        <r>
          <rPr>
            <sz val="8"/>
            <color indexed="81"/>
            <rFont val="Tahoma"/>
            <charset val="1"/>
          </rPr>
          <t xml:space="preserve">
There wer no coord infor for 74 B so Used 74 coordinates and changes one number in decimal point to avoid getting colocation error in modelingmodeling</t>
        </r>
      </text>
    </comment>
  </commentList>
</comments>
</file>

<file path=xl/comments8.xml><?xml version="1.0" encoding="utf-8"?>
<comments xmlns="http://schemas.openxmlformats.org/spreadsheetml/2006/main">
  <authors>
    <author>kjn18</author>
  </authors>
  <commentList>
    <comment ref="A105" authorId="0">
      <text>
        <r>
          <rPr>
            <b/>
            <sz val="8"/>
            <color indexed="81"/>
            <rFont val="Tahoma"/>
            <charset val="1"/>
          </rPr>
          <t>kjn18:</t>
        </r>
        <r>
          <rPr>
            <sz val="8"/>
            <color indexed="81"/>
            <rFont val="Tahoma"/>
            <charset val="1"/>
          </rPr>
          <t xml:space="preserve">
There wer no coord infor for 74 B so Used 74 coordinates and changes one number in decimal point to avoid getting colocation error in modelingmodeling</t>
        </r>
      </text>
    </comment>
  </commentList>
</comments>
</file>

<file path=xl/comments9.xml><?xml version="1.0" encoding="utf-8"?>
<comments xmlns="http://schemas.openxmlformats.org/spreadsheetml/2006/main">
  <authors>
    <author>kjn18</author>
  </authors>
  <commentList>
    <comment ref="A105" authorId="0">
      <text>
        <r>
          <rPr>
            <b/>
            <sz val="8"/>
            <color indexed="81"/>
            <rFont val="Tahoma"/>
            <charset val="1"/>
          </rPr>
          <t>kjn18:</t>
        </r>
        <r>
          <rPr>
            <sz val="8"/>
            <color indexed="81"/>
            <rFont val="Tahoma"/>
            <charset val="1"/>
          </rPr>
          <t xml:space="preserve">
There wer no coord infor for 74 B so Used 74 coordinates and changes one number in decimal point to avoid getting colocation error in modelingmodeling</t>
        </r>
      </text>
    </comment>
  </commentList>
</comments>
</file>

<file path=xl/sharedStrings.xml><?xml version="1.0" encoding="utf-8"?>
<sst xmlns="http://schemas.openxmlformats.org/spreadsheetml/2006/main" count="32613" uniqueCount="156">
  <si>
    <t>A1</t>
  </si>
  <si>
    <t>A2</t>
  </si>
  <si>
    <t>A3</t>
  </si>
  <si>
    <t>A4</t>
  </si>
  <si>
    <t>A5</t>
  </si>
  <si>
    <t>B1</t>
  </si>
  <si>
    <t>B2</t>
  </si>
  <si>
    <t>B3</t>
  </si>
  <si>
    <t>B4</t>
  </si>
  <si>
    <t>B5</t>
  </si>
  <si>
    <t>15A</t>
  </si>
  <si>
    <t>15B</t>
  </si>
  <si>
    <t>15C</t>
  </si>
  <si>
    <t>15D</t>
  </si>
  <si>
    <t>51A</t>
  </si>
  <si>
    <t>51B</t>
  </si>
  <si>
    <t>51C</t>
  </si>
  <si>
    <t>51D</t>
  </si>
  <si>
    <t>53A</t>
  </si>
  <si>
    <t>53B</t>
  </si>
  <si>
    <t>53C</t>
  </si>
  <si>
    <t>53D</t>
  </si>
  <si>
    <t>55A</t>
  </si>
  <si>
    <t>55B</t>
  </si>
  <si>
    <t>55C</t>
  </si>
  <si>
    <t>55D</t>
  </si>
  <si>
    <t>60A</t>
  </si>
  <si>
    <t>60B</t>
  </si>
  <si>
    <t>60C</t>
  </si>
  <si>
    <t>60D</t>
  </si>
  <si>
    <t>61A</t>
  </si>
  <si>
    <t>61B</t>
  </si>
  <si>
    <t>61C</t>
  </si>
  <si>
    <t>61D</t>
  </si>
  <si>
    <t>74B</t>
  </si>
  <si>
    <t>74A</t>
  </si>
  <si>
    <t>74C</t>
  </si>
  <si>
    <t>74D</t>
  </si>
  <si>
    <t>NA</t>
  </si>
  <si>
    <t>PCC510</t>
  </si>
  <si>
    <t>PCC520</t>
  </si>
  <si>
    <t>PCC603</t>
  </si>
  <si>
    <t>PCC610</t>
  </si>
  <si>
    <t>PCC611</t>
  </si>
  <si>
    <t>PCC624</t>
  </si>
  <si>
    <t>PCC708</t>
  </si>
  <si>
    <t>PCC719</t>
  </si>
  <si>
    <t>PCC729</t>
  </si>
  <si>
    <t>PCC820</t>
  </si>
  <si>
    <t>LAI708</t>
  </si>
  <si>
    <t>LAI624</t>
  </si>
  <si>
    <t>LAI520</t>
  </si>
  <si>
    <t>LAI603</t>
  </si>
  <si>
    <t>LAI610</t>
  </si>
  <si>
    <t>X</t>
  </si>
  <si>
    <t>Y</t>
  </si>
  <si>
    <t>Elevation</t>
  </si>
  <si>
    <t>SID</t>
  </si>
  <si>
    <t>LAI729</t>
  </si>
  <si>
    <t>LAI719</t>
  </si>
  <si>
    <t>LAI820</t>
  </si>
  <si>
    <t>LAI425</t>
  </si>
  <si>
    <t>LAI510</t>
  </si>
  <si>
    <t>PCC425</t>
  </si>
  <si>
    <t>SM425</t>
  </si>
  <si>
    <t>SM506</t>
  </si>
  <si>
    <t>SM510</t>
  </si>
  <si>
    <t>SM519</t>
  </si>
  <si>
    <t>SM526</t>
  </si>
  <si>
    <t>SM602</t>
  </si>
  <si>
    <t>SM617</t>
  </si>
  <si>
    <t>SM623</t>
  </si>
  <si>
    <t>SM708</t>
  </si>
  <si>
    <t>SM714</t>
  </si>
  <si>
    <t>SM730</t>
  </si>
  <si>
    <t>DepthBed</t>
  </si>
  <si>
    <t>TWI</t>
  </si>
  <si>
    <t>Up_Accum</t>
  </si>
  <si>
    <t>Curvature</t>
  </si>
  <si>
    <t>Slope_FT</t>
  </si>
  <si>
    <t>SM50309</t>
  </si>
  <si>
    <t>SM120608</t>
  </si>
  <si>
    <t>SM121006</t>
  </si>
  <si>
    <t>SM122106</t>
  </si>
  <si>
    <t>SM10407</t>
  </si>
  <si>
    <t>SM12207</t>
  </si>
  <si>
    <t>SM20107</t>
  </si>
  <si>
    <t>SM22107</t>
  </si>
  <si>
    <t>SM30907</t>
  </si>
  <si>
    <t>SM31107</t>
  </si>
  <si>
    <t>SM32707</t>
  </si>
  <si>
    <t>SM51107</t>
  </si>
  <si>
    <t>SM52207</t>
  </si>
  <si>
    <t>SM60607</t>
  </si>
  <si>
    <t>SM70307</t>
  </si>
  <si>
    <t>SM72007</t>
  </si>
  <si>
    <t>SM90707</t>
  </si>
  <si>
    <t>SM91407</t>
  </si>
  <si>
    <t>SM92107</t>
  </si>
  <si>
    <t>SM100607</t>
  </si>
  <si>
    <t>SM111607</t>
  </si>
  <si>
    <t>SM112907</t>
  </si>
  <si>
    <t>SM111310</t>
  </si>
  <si>
    <t>SM101610</t>
  </si>
  <si>
    <t>SM101010</t>
  </si>
  <si>
    <t>SM92610</t>
  </si>
  <si>
    <t>SM91110</t>
  </si>
  <si>
    <t>SM82810</t>
  </si>
  <si>
    <t>SM73010</t>
  </si>
  <si>
    <t>SM71410</t>
  </si>
  <si>
    <t>SM70810</t>
  </si>
  <si>
    <t>SM62310</t>
  </si>
  <si>
    <t>SM61710</t>
  </si>
  <si>
    <t>SM52610</t>
  </si>
  <si>
    <t>SM51910</t>
  </si>
  <si>
    <t>SM51010</t>
  </si>
  <si>
    <t>SM50610</t>
  </si>
  <si>
    <t>SM42510</t>
  </si>
  <si>
    <t>SM41908</t>
  </si>
  <si>
    <t>SM52708</t>
  </si>
  <si>
    <t>SM61108</t>
  </si>
  <si>
    <t>SM61708</t>
  </si>
  <si>
    <t>SM62408</t>
  </si>
  <si>
    <t>SM70108</t>
  </si>
  <si>
    <t>SM70808</t>
  </si>
  <si>
    <t>SM71508</t>
  </si>
  <si>
    <t>SM80508</t>
  </si>
  <si>
    <t>SM81208</t>
  </si>
  <si>
    <t>SM90708</t>
  </si>
  <si>
    <t>SM91408</t>
  </si>
  <si>
    <t>SM92108</t>
  </si>
  <si>
    <t>SM100408</t>
  </si>
  <si>
    <t>SM101208</t>
  </si>
  <si>
    <t>SM101908</t>
  </si>
  <si>
    <t>SM102608</t>
  </si>
  <si>
    <t>SM110208</t>
  </si>
  <si>
    <t>SM110808</t>
  </si>
  <si>
    <t>SM42609</t>
  </si>
  <si>
    <t>SM51309</t>
  </si>
  <si>
    <t>SM52109</t>
  </si>
  <si>
    <t>SM52809</t>
  </si>
  <si>
    <t>SM60209</t>
  </si>
  <si>
    <t>SM61709</t>
  </si>
  <si>
    <t>SM62409</t>
  </si>
  <si>
    <t>SM70209</t>
  </si>
  <si>
    <t>SM81209</t>
  </si>
  <si>
    <t>SM81409</t>
  </si>
  <si>
    <t>SM81809</t>
  </si>
  <si>
    <t>SM82309</t>
  </si>
  <si>
    <t>SM83009</t>
  </si>
  <si>
    <t>SM90409</t>
  </si>
  <si>
    <t>SM100309</t>
  </si>
  <si>
    <t>SM100909</t>
  </si>
  <si>
    <t>SM62215</t>
  </si>
  <si>
    <t>SM70715</t>
  </si>
  <si>
    <t>SM71615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</si>
</sst>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00"/>
    <numFmt numFmtId="166" formatCode="m/d/yy;@"/>
  </numFmts>
  <fonts count="39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1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8"/>
      <name val="Courier"/>
      <family val="3"/>
    </font>
    <font>
      <sz val="12"/>
      <name val="Courier"/>
      <family val="3"/>
    </font>
    <font>
      <sz val="12"/>
      <color indexed="8"/>
      <name val="Courier"/>
      <family val="3"/>
    </font>
    <font>
      <sz val="12"/>
      <color indexed="8"/>
      <name val="Courier"/>
      <family val="3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sz val="8"/>
      <name val="Calibri"/>
      <family val="2"/>
    </font>
    <font>
      <sz val="11"/>
      <color indexed="8"/>
      <name val="Calibri"/>
      <family val="2"/>
    </font>
    <font>
      <sz val="11"/>
      <name val="Arial"/>
    </font>
    <font>
      <sz val="12"/>
      <name val="Arial"/>
      <family val="2"/>
    </font>
    <font>
      <sz val="11"/>
      <name val="Arial"/>
      <family val="2"/>
    </font>
    <font>
      <sz val="11"/>
      <name val="宋体"/>
      <charset val="134"/>
    </font>
    <font>
      <sz val="11"/>
      <color indexed="8"/>
      <name val="Calibri"/>
      <family val="2"/>
    </font>
    <font>
      <sz val="11"/>
      <name val="宋体"/>
    </font>
    <font>
      <sz val="12"/>
      <name val="Times New Roman"/>
      <family val="1"/>
    </font>
    <font>
      <sz val="12"/>
      <color indexed="8"/>
      <name val="Times New Roman"/>
      <family val="1"/>
    </font>
    <font>
      <sz val="11"/>
      <name val="Calibri"/>
      <family val="2"/>
    </font>
    <font>
      <sz val="11"/>
      <color indexed="8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6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1" fillId="0" borderId="0"/>
    <xf numFmtId="0" fontId="2" fillId="0" borderId="0"/>
    <xf numFmtId="0" fontId="2" fillId="0" borderId="0"/>
    <xf numFmtId="0" fontId="4" fillId="0" borderId="0"/>
    <xf numFmtId="0" fontId="4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94">
    <xf numFmtId="0" fontId="0" fillId="0" borderId="0" xfId="0"/>
    <xf numFmtId="0" fontId="3" fillId="0" borderId="0" xfId="37" applyFont="1" applyAlignment="1">
      <alignment horizontal="left"/>
    </xf>
    <xf numFmtId="164" fontId="3" fillId="0" borderId="0" xfId="37" applyNumberFormat="1" applyFont="1"/>
    <xf numFmtId="0" fontId="21" fillId="0" borderId="0" xfId="0" applyFont="1"/>
    <xf numFmtId="164" fontId="24" fillId="0" borderId="0" xfId="0" applyNumberFormat="1" applyFont="1"/>
    <xf numFmtId="164" fontId="22" fillId="0" borderId="0" xfId="37" applyNumberFormat="1" applyFont="1"/>
    <xf numFmtId="0" fontId="22" fillId="0" borderId="0" xfId="37" applyFont="1" applyAlignment="1">
      <alignment horizontal="left"/>
    </xf>
    <xf numFmtId="0" fontId="24" fillId="0" borderId="0" xfId="0" applyFont="1" applyAlignment="1">
      <alignment horizontal="center"/>
    </xf>
    <xf numFmtId="2" fontId="23" fillId="0" borderId="0" xfId="40" applyNumberFormat="1" applyFont="1"/>
    <xf numFmtId="0" fontId="24" fillId="0" borderId="0" xfId="0" applyFont="1"/>
    <xf numFmtId="0" fontId="24" fillId="0" borderId="0" xfId="40" applyFont="1"/>
    <xf numFmtId="0" fontId="23" fillId="0" borderId="0" xfId="40" applyFont="1" applyAlignment="1"/>
    <xf numFmtId="0" fontId="23" fillId="0" borderId="0" xfId="40" applyFont="1"/>
    <xf numFmtId="164" fontId="22" fillId="0" borderId="0" xfId="38" applyNumberFormat="1" applyFont="1"/>
    <xf numFmtId="0" fontId="22" fillId="0" borderId="0" xfId="38" applyFont="1" applyAlignment="1">
      <alignment horizontal="left"/>
    </xf>
    <xf numFmtId="0" fontId="0" fillId="0" borderId="0" xfId="0" applyAlignment="1">
      <alignment horizontal="center"/>
    </xf>
    <xf numFmtId="0" fontId="21" fillId="0" borderId="0" xfId="0" applyFont="1" applyAlignment="1">
      <alignment horizontal="center"/>
    </xf>
    <xf numFmtId="164" fontId="21" fillId="0" borderId="0" xfId="0" applyNumberFormat="1" applyFont="1" applyAlignment="1">
      <alignment horizontal="center"/>
    </xf>
    <xf numFmtId="164" fontId="21" fillId="0" borderId="0" xfId="0" applyNumberFormat="1" applyFont="1"/>
    <xf numFmtId="164" fontId="24" fillId="0" borderId="0" xfId="0" applyNumberFormat="1" applyFont="1" applyAlignment="1">
      <alignment horizontal="center"/>
    </xf>
    <xf numFmtId="164" fontId="22" fillId="0" borderId="0" xfId="0" applyNumberFormat="1" applyFont="1" applyAlignment="1">
      <alignment horizontal="center"/>
    </xf>
    <xf numFmtId="0" fontId="22" fillId="0" borderId="0" xfId="37" applyFont="1" applyAlignment="1">
      <alignment horizontal="center"/>
    </xf>
    <xf numFmtId="164" fontId="22" fillId="0" borderId="0" xfId="37" applyNumberFormat="1" applyFont="1" applyAlignment="1">
      <alignment horizontal="center"/>
    </xf>
    <xf numFmtId="164" fontId="23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0" applyFont="1" applyBorder="1" applyAlignment="1">
      <alignment horizontal="center"/>
    </xf>
    <xf numFmtId="14" fontId="21" fillId="0" borderId="0" xfId="0" applyNumberFormat="1" applyFont="1" applyAlignment="1">
      <alignment horizontal="center"/>
    </xf>
    <xf numFmtId="14" fontId="24" fillId="0" borderId="0" xfId="0" applyNumberFormat="1" applyFont="1" applyAlignment="1">
      <alignment horizontal="center"/>
    </xf>
    <xf numFmtId="14" fontId="23" fillId="0" borderId="0" xfId="0" applyNumberFormat="1" applyFont="1" applyAlignment="1">
      <alignment horizontal="center"/>
    </xf>
    <xf numFmtId="0" fontId="22" fillId="0" borderId="0" xfId="38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6" fontId="29" fillId="0" borderId="0" xfId="0" applyNumberFormat="1" applyFont="1" applyAlignment="1">
      <alignment horizontal="center"/>
    </xf>
    <xf numFmtId="166" fontId="32" fillId="0" borderId="0" xfId="0" applyNumberFormat="1" applyFont="1" applyAlignment="1">
      <alignment horizontal="center" vertical="center"/>
    </xf>
    <xf numFmtId="166" fontId="29" fillId="0" borderId="0" xfId="0" applyNumberFormat="1" applyFont="1" applyFill="1" applyBorder="1" applyAlignment="1">
      <alignment horizontal="center"/>
    </xf>
    <xf numFmtId="166" fontId="31" fillId="0" borderId="0" xfId="0" applyNumberFormat="1" applyFont="1" applyAlignment="1">
      <alignment horizontal="center"/>
    </xf>
    <xf numFmtId="166" fontId="31" fillId="0" borderId="0" xfId="0" applyNumberFormat="1" applyFont="1" applyFill="1" applyBorder="1" applyAlignment="1">
      <alignment horizontal="center"/>
    </xf>
    <xf numFmtId="2" fontId="29" fillId="0" borderId="0" xfId="0" applyNumberFormat="1" applyFont="1" applyAlignment="1">
      <alignment horizontal="center"/>
    </xf>
    <xf numFmtId="2" fontId="32" fillId="0" borderId="0" xfId="0" applyNumberFormat="1" applyFont="1" applyAlignment="1">
      <alignment horizontal="center" vertical="center"/>
    </xf>
    <xf numFmtId="165" fontId="29" fillId="0" borderId="0" xfId="0" applyNumberFormat="1" applyFont="1" applyFill="1" applyBorder="1" applyAlignment="1">
      <alignment horizontal="center"/>
    </xf>
    <xf numFmtId="0" fontId="29" fillId="0" borderId="0" xfId="0" applyFont="1" applyAlignment="1">
      <alignment horizontal="center"/>
    </xf>
    <xf numFmtId="165" fontId="29" fillId="0" borderId="0" xfId="0" applyNumberFormat="1" applyFont="1" applyAlignment="1">
      <alignment horizontal="center"/>
    </xf>
    <xf numFmtId="165" fontId="31" fillId="0" borderId="0" xfId="0" applyNumberFormat="1" applyFont="1" applyAlignment="1">
      <alignment horizontal="center"/>
    </xf>
    <xf numFmtId="165" fontId="31" fillId="0" borderId="0" xfId="0" applyNumberFormat="1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2" fontId="32" fillId="0" borderId="0" xfId="0" applyNumberFormat="1" applyFont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165" fontId="29" fillId="0" borderId="0" xfId="0" applyNumberFormat="1" applyFont="1" applyAlignment="1">
      <alignment horizontal="center" vertical="center"/>
    </xf>
    <xf numFmtId="165" fontId="32" fillId="0" borderId="0" xfId="0" applyNumberFormat="1" applyFont="1" applyAlignment="1">
      <alignment horizontal="center" vertical="center"/>
    </xf>
    <xf numFmtId="165" fontId="29" fillId="0" borderId="0" xfId="0" applyNumberFormat="1" applyFont="1" applyFill="1" applyAlignment="1">
      <alignment horizontal="center"/>
    </xf>
    <xf numFmtId="165" fontId="29" fillId="0" borderId="0" xfId="0" applyNumberFormat="1" applyFont="1" applyFill="1" applyAlignment="1">
      <alignment horizontal="center" vertical="center"/>
    </xf>
    <xf numFmtId="165" fontId="32" fillId="0" borderId="0" xfId="0" applyNumberFormat="1" applyFont="1" applyFill="1" applyAlignment="1">
      <alignment horizontal="center" vertical="center"/>
    </xf>
    <xf numFmtId="0" fontId="32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center"/>
    </xf>
    <xf numFmtId="165" fontId="31" fillId="0" borderId="0" xfId="0" applyNumberFormat="1" applyFont="1" applyFill="1" applyAlignment="1">
      <alignment horizontal="center"/>
    </xf>
    <xf numFmtId="0" fontId="29" fillId="0" borderId="0" xfId="0" applyFont="1" applyFill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2" fillId="0" borderId="0" xfId="37" applyNumberFormat="1" applyFont="1" applyAlignment="1">
      <alignment horizontal="center"/>
    </xf>
    <xf numFmtId="164" fontId="22" fillId="0" borderId="0" xfId="0" applyNumberFormat="1" applyFont="1" applyFill="1" applyAlignment="1">
      <alignment horizontal="center"/>
    </xf>
    <xf numFmtId="165" fontId="34" fillId="0" borderId="0" xfId="0" applyNumberFormat="1" applyFont="1" applyFill="1" applyAlignment="1">
      <alignment horizontal="center" vertical="center"/>
    </xf>
    <xf numFmtId="0" fontId="31" fillId="0" borderId="0" xfId="0" applyFont="1" applyAlignment="1">
      <alignment horizontal="center"/>
    </xf>
    <xf numFmtId="0" fontId="22" fillId="0" borderId="0" xfId="38" applyNumberFormat="1" applyFont="1" applyFill="1" applyAlignment="1">
      <alignment horizontal="center"/>
    </xf>
    <xf numFmtId="164" fontId="21" fillId="0" borderId="0" xfId="0" applyNumberFormat="1" applyFont="1" applyFill="1" applyAlignment="1">
      <alignment horizontal="center"/>
    </xf>
    <xf numFmtId="164" fontId="24" fillId="0" borderId="0" xfId="0" applyNumberFormat="1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0" fontId="22" fillId="0" borderId="0" xfId="37" applyFont="1" applyFill="1" applyAlignment="1">
      <alignment horizontal="center"/>
    </xf>
    <xf numFmtId="164" fontId="23" fillId="0" borderId="0" xfId="0" applyNumberFormat="1" applyFont="1" applyFill="1" applyAlignment="1">
      <alignment horizontal="center"/>
    </xf>
    <xf numFmtId="14" fontId="21" fillId="0" borderId="0" xfId="0" applyNumberFormat="1" applyFont="1" applyFill="1" applyAlignment="1">
      <alignment horizontal="center"/>
    </xf>
    <xf numFmtId="14" fontId="24" fillId="0" borderId="0" xfId="0" applyNumberFormat="1" applyFont="1" applyFill="1" applyAlignment="1">
      <alignment horizontal="center"/>
    </xf>
    <xf numFmtId="14" fontId="23" fillId="0" borderId="0" xfId="0" applyNumberFormat="1" applyFont="1" applyFill="1" applyAlignment="1">
      <alignment horizontal="center"/>
    </xf>
    <xf numFmtId="166" fontId="29" fillId="0" borderId="0" xfId="0" applyNumberFormat="1" applyFont="1" applyFill="1" applyAlignment="1">
      <alignment horizontal="center"/>
    </xf>
    <xf numFmtId="166" fontId="32" fillId="0" borderId="0" xfId="0" applyNumberFormat="1" applyFont="1" applyFill="1" applyAlignment="1">
      <alignment horizontal="center" vertical="center"/>
    </xf>
    <xf numFmtId="166" fontId="31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164" fontId="22" fillId="0" borderId="0" xfId="37" applyNumberFormat="1" applyFont="1" applyFill="1" applyAlignment="1">
      <alignment horizontal="center"/>
    </xf>
    <xf numFmtId="165" fontId="22" fillId="0" borderId="0" xfId="0" applyNumberFormat="1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164" fontId="36" fillId="0" borderId="0" xfId="0" applyNumberFormat="1" applyFont="1" applyAlignment="1">
      <alignment horizontal="center"/>
    </xf>
    <xf numFmtId="164" fontId="35" fillId="0" borderId="0" xfId="37" applyNumberFormat="1" applyFont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ill="1"/>
    <xf numFmtId="164" fontId="4" fillId="0" borderId="0" xfId="0" applyNumberFormat="1" applyFont="1" applyFill="1" applyAlignment="1">
      <alignment horizontal="center"/>
    </xf>
    <xf numFmtId="164" fontId="37" fillId="0" borderId="0" xfId="0" applyNumberFormat="1" applyFont="1" applyFill="1" applyAlignment="1">
      <alignment horizontal="center"/>
    </xf>
    <xf numFmtId="0" fontId="0" fillId="0" borderId="0" xfId="0" applyFill="1" applyBorder="1" applyAlignment="1">
      <alignment horizontal="center"/>
    </xf>
    <xf numFmtId="164" fontId="38" fillId="0" borderId="0" xfId="0" applyNumberFormat="1" applyFont="1" applyFill="1" applyAlignment="1">
      <alignment horizontal="center"/>
    </xf>
    <xf numFmtId="0" fontId="37" fillId="0" borderId="0" xfId="0" applyFont="1" applyFill="1" applyAlignment="1">
      <alignment horizontal="center"/>
    </xf>
    <xf numFmtId="165" fontId="37" fillId="0" borderId="0" xfId="0" applyNumberFormat="1" applyFont="1" applyFill="1" applyAlignment="1">
      <alignment horizontal="center"/>
    </xf>
    <xf numFmtId="164" fontId="23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</cellXfs>
  <cellStyles count="4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37"/>
    <cellStyle name="Normal 2 2" xfId="38"/>
    <cellStyle name="Normal 2 3" xfId="39"/>
    <cellStyle name="Normal 3" xfId="40"/>
    <cellStyle name="Note 2" xfId="41"/>
    <cellStyle name="Output 2" xfId="42"/>
    <cellStyle name="Title 2" xfId="43"/>
    <cellStyle name="Total 2" xfId="44"/>
    <cellStyle name="Warning Text 2" xfId="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15"/>
  <sheetViews>
    <sheetView workbookViewId="0">
      <selection activeCell="I25" sqref="I25"/>
    </sheetView>
  </sheetViews>
  <sheetFormatPr defaultColWidth="8.85546875" defaultRowHeight="15.75"/>
  <cols>
    <col min="1" max="1" width="5.140625" style="9" bestFit="1" customWidth="1"/>
    <col min="2" max="2" width="16.85546875" style="4" customWidth="1"/>
    <col min="3" max="3" width="15.42578125" style="4" bestFit="1" customWidth="1"/>
    <col min="4" max="4" width="12.85546875" style="4" bestFit="1" customWidth="1"/>
    <col min="5" max="5" width="13.140625" customWidth="1"/>
    <col min="6" max="6" width="12.7109375" customWidth="1"/>
    <col min="7" max="7" width="11.7109375" customWidth="1"/>
    <col min="8" max="8" width="12.42578125" customWidth="1"/>
    <col min="9" max="9" width="11.7109375" customWidth="1"/>
    <col min="10" max="10" width="9" style="4" bestFit="1" customWidth="1"/>
    <col min="11" max="11" width="9" style="9" bestFit="1" customWidth="1"/>
    <col min="12" max="18" width="9" style="4" bestFit="1" customWidth="1"/>
    <col min="19" max="19" width="9" style="9" bestFit="1" customWidth="1"/>
  </cols>
  <sheetData>
    <row r="1" spans="1:19">
      <c r="A1" s="6" t="s">
        <v>57</v>
      </c>
      <c r="B1" s="5" t="s">
        <v>54</v>
      </c>
      <c r="C1" s="5" t="s">
        <v>55</v>
      </c>
      <c r="D1" s="5" t="s">
        <v>56</v>
      </c>
      <c r="E1" s="17" t="s">
        <v>79</v>
      </c>
      <c r="F1" s="17" t="s">
        <v>77</v>
      </c>
      <c r="G1" s="17" t="s">
        <v>78</v>
      </c>
      <c r="H1" s="17" t="s">
        <v>75</v>
      </c>
      <c r="I1" s="17" t="s">
        <v>76</v>
      </c>
      <c r="J1" s="4" t="s">
        <v>61</v>
      </c>
      <c r="K1" s="9" t="s">
        <v>62</v>
      </c>
      <c r="L1" s="4" t="s">
        <v>51</v>
      </c>
      <c r="M1" s="4" t="s">
        <v>52</v>
      </c>
      <c r="N1" s="4" t="s">
        <v>53</v>
      </c>
      <c r="O1" s="4" t="s">
        <v>50</v>
      </c>
      <c r="P1" s="4" t="s">
        <v>49</v>
      </c>
      <c r="Q1" s="4" t="s">
        <v>59</v>
      </c>
      <c r="R1" s="4" t="s">
        <v>58</v>
      </c>
      <c r="S1" s="4" t="s">
        <v>60</v>
      </c>
    </row>
    <row r="2" spans="1:19">
      <c r="A2" s="6" t="s">
        <v>0</v>
      </c>
      <c r="B2" s="5">
        <v>1925504.35732</v>
      </c>
      <c r="C2" s="5">
        <v>484922.89629</v>
      </c>
      <c r="D2" s="5">
        <v>271.34342600000002</v>
      </c>
      <c r="E2" s="18">
        <v>43.565018000000002</v>
      </c>
      <c r="F2" s="18">
        <v>72.867042999999995</v>
      </c>
      <c r="G2" s="18">
        <v>-0.50297199999999997</v>
      </c>
      <c r="H2" s="18">
        <v>47.867843999999998</v>
      </c>
      <c r="I2" s="18">
        <v>3.2687444700000001</v>
      </c>
      <c r="J2" s="4">
        <v>2.6101206463967657</v>
      </c>
      <c r="K2" s="9">
        <v>3.6574999999999998</v>
      </c>
      <c r="L2" s="4">
        <v>4.4325000000000001</v>
      </c>
      <c r="M2" s="4">
        <v>1.615</v>
      </c>
      <c r="N2" s="4">
        <v>4.8175000000000008</v>
      </c>
      <c r="O2" s="9">
        <v>5.4950000000000001</v>
      </c>
      <c r="P2" s="4">
        <v>2.5425</v>
      </c>
      <c r="Q2" s="4">
        <v>4.9700000000000006</v>
      </c>
      <c r="R2" s="4">
        <v>3.15</v>
      </c>
      <c r="S2" s="9">
        <v>5.0625</v>
      </c>
    </row>
    <row r="3" spans="1:19">
      <c r="A3" s="6" t="s">
        <v>1</v>
      </c>
      <c r="B3" s="5">
        <v>1925501.29532</v>
      </c>
      <c r="C3" s="5">
        <v>484912.68568</v>
      </c>
      <c r="D3" s="5">
        <v>272.48029100000002</v>
      </c>
      <c r="E3" s="18">
        <v>47.448776000000002</v>
      </c>
      <c r="F3" s="18">
        <v>65.810340999999994</v>
      </c>
      <c r="G3" s="18">
        <v>-0.63169299999999995</v>
      </c>
      <c r="H3" s="18">
        <v>44.285389000000002</v>
      </c>
      <c r="I3" s="18">
        <v>3.4089362599999999</v>
      </c>
      <c r="J3" s="4">
        <v>2.6038257410209531</v>
      </c>
      <c r="K3" s="9">
        <v>3.4325000000000001</v>
      </c>
      <c r="L3" s="4">
        <v>4.1625000000000005</v>
      </c>
      <c r="M3" s="4">
        <v>1.6225000000000001</v>
      </c>
      <c r="N3" s="4">
        <v>3.8049999999999997</v>
      </c>
      <c r="O3" s="9">
        <v>5.2</v>
      </c>
      <c r="P3" s="4">
        <v>1.875</v>
      </c>
      <c r="Q3" s="4">
        <v>4.7874999999999996</v>
      </c>
      <c r="R3" s="4">
        <v>2.9074999999999998</v>
      </c>
      <c r="S3" s="9">
        <v>4.9249999999999998</v>
      </c>
    </row>
    <row r="4" spans="1:19">
      <c r="A4" s="6" t="s">
        <v>2</v>
      </c>
      <c r="B4" s="5">
        <v>1925511.18276</v>
      </c>
      <c r="C4" s="5">
        <v>484895.94786000001</v>
      </c>
      <c r="D4" s="5">
        <v>275.47549199999997</v>
      </c>
      <c r="E4" s="18">
        <v>47.015861999999998</v>
      </c>
      <c r="F4" s="18">
        <v>56.164969999999997</v>
      </c>
      <c r="G4" s="18">
        <v>0.56874999999999998</v>
      </c>
      <c r="H4" s="18">
        <v>37.453690000000002</v>
      </c>
      <c r="I4" s="18">
        <v>2.23376083</v>
      </c>
      <c r="J4" s="4">
        <v>2.380553220033748</v>
      </c>
      <c r="K4" s="9">
        <v>3.4375</v>
      </c>
      <c r="L4" s="4">
        <v>4.0324999999999998</v>
      </c>
      <c r="M4" s="4">
        <v>1.1524999999999999</v>
      </c>
      <c r="N4" s="4">
        <v>3.8574999999999999</v>
      </c>
      <c r="O4" s="9">
        <v>4.875</v>
      </c>
      <c r="P4" s="4">
        <v>1.165</v>
      </c>
      <c r="Q4" s="4">
        <v>3.9824999999999999</v>
      </c>
      <c r="R4" s="4">
        <v>2.1</v>
      </c>
      <c r="S4" s="9">
        <v>3.6675</v>
      </c>
    </row>
    <row r="5" spans="1:19">
      <c r="A5" s="6" t="s">
        <v>3</v>
      </c>
      <c r="B5" s="5">
        <v>1925518.3392399999</v>
      </c>
      <c r="C5" s="5">
        <v>484857.73632000003</v>
      </c>
      <c r="D5" s="5">
        <v>280.40821699999998</v>
      </c>
      <c r="E5" s="18">
        <v>39.505096000000002</v>
      </c>
      <c r="F5" s="18">
        <v>44.406714999999998</v>
      </c>
      <c r="G5" s="18">
        <v>3.6858000000000002E-2</v>
      </c>
      <c r="H5" s="18">
        <v>27.777372</v>
      </c>
      <c r="I5" s="18">
        <v>3.19109607</v>
      </c>
      <c r="J5" s="4">
        <v>2.3524284344266624</v>
      </c>
      <c r="K5" s="9">
        <v>2.7825000000000002</v>
      </c>
      <c r="L5" s="4">
        <v>3.37</v>
      </c>
      <c r="M5" s="4">
        <v>3.22</v>
      </c>
      <c r="N5" s="4">
        <v>3.7524999999999995</v>
      </c>
      <c r="O5" s="9">
        <v>4.375</v>
      </c>
      <c r="P5" s="4">
        <v>0.90749999999999997</v>
      </c>
      <c r="Q5" s="4">
        <v>3.6574999999999998</v>
      </c>
      <c r="R5" s="4">
        <v>1.5225</v>
      </c>
      <c r="S5" s="9">
        <v>2.9750000000000001</v>
      </c>
    </row>
    <row r="6" spans="1:19">
      <c r="A6" s="6" t="s">
        <v>4</v>
      </c>
      <c r="B6" s="5">
        <v>1925535.31296</v>
      </c>
      <c r="C6" s="5">
        <v>484787.18594</v>
      </c>
      <c r="D6" s="5">
        <v>287.75272799999999</v>
      </c>
      <c r="E6" s="18">
        <v>22.082004999999999</v>
      </c>
      <c r="F6" s="18">
        <v>28.141974999999999</v>
      </c>
      <c r="G6" s="18">
        <v>0.48822900000000002</v>
      </c>
      <c r="H6" s="18">
        <v>24.529057999999999</v>
      </c>
      <c r="I6" s="18">
        <v>2.4116797399999998</v>
      </c>
      <c r="J6" s="4">
        <v>2.3524284344266624</v>
      </c>
      <c r="K6" s="9" t="s">
        <v>38</v>
      </c>
      <c r="L6" s="4">
        <v>2.4924999999999997</v>
      </c>
      <c r="M6" s="4">
        <v>2.8125</v>
      </c>
      <c r="N6" s="4">
        <v>3.0324999999999998</v>
      </c>
      <c r="O6" s="9">
        <v>3.8075000000000001</v>
      </c>
      <c r="P6" s="4">
        <v>0.33250000000000002</v>
      </c>
      <c r="Q6" s="4">
        <v>2.72</v>
      </c>
      <c r="R6" s="4">
        <v>0.85749999999999993</v>
      </c>
      <c r="S6" s="9">
        <v>2.8475000000000001</v>
      </c>
    </row>
    <row r="7" spans="1:19">
      <c r="A7" s="6" t="s">
        <v>5</v>
      </c>
      <c r="B7" s="5">
        <v>1925613.6907599999</v>
      </c>
      <c r="C7" s="5">
        <v>484955.71610999998</v>
      </c>
      <c r="D7" s="5">
        <v>273.53814999999997</v>
      </c>
      <c r="E7" s="17" t="s">
        <v>38</v>
      </c>
      <c r="F7" s="17" t="s">
        <v>38</v>
      </c>
      <c r="G7" s="17" t="s">
        <v>38</v>
      </c>
      <c r="H7" s="17" t="s">
        <v>38</v>
      </c>
      <c r="I7" s="17" t="s">
        <v>38</v>
      </c>
      <c r="J7" s="4">
        <v>2.3524284344266624</v>
      </c>
      <c r="K7" s="9" t="s">
        <v>38</v>
      </c>
      <c r="L7" s="4">
        <v>4.9474999999999998</v>
      </c>
      <c r="M7" s="4">
        <v>2.94</v>
      </c>
      <c r="N7" s="4">
        <v>3.9550000000000001</v>
      </c>
      <c r="O7" s="9">
        <v>6.6449999999999996</v>
      </c>
      <c r="P7" s="4">
        <v>2.3849999999999998</v>
      </c>
      <c r="Q7" s="4" t="s">
        <v>38</v>
      </c>
      <c r="R7" s="4">
        <v>3.7850000000000001</v>
      </c>
      <c r="S7" s="9" t="s">
        <v>38</v>
      </c>
    </row>
    <row r="8" spans="1:19">
      <c r="A8" s="6" t="s">
        <v>6</v>
      </c>
      <c r="B8" s="5">
        <v>1925639.8865700001</v>
      </c>
      <c r="C8" s="5">
        <v>484883.10307000001</v>
      </c>
      <c r="D8" s="5">
        <v>282.23270600000001</v>
      </c>
      <c r="E8" s="17" t="s">
        <v>38</v>
      </c>
      <c r="F8" s="17" t="s">
        <v>38</v>
      </c>
      <c r="G8" s="17" t="s">
        <v>38</v>
      </c>
      <c r="H8" s="17" t="s">
        <v>38</v>
      </c>
      <c r="I8" s="17" t="s">
        <v>38</v>
      </c>
      <c r="J8" s="4">
        <v>0.46330686045679914</v>
      </c>
      <c r="K8" s="9" t="s">
        <v>38</v>
      </c>
      <c r="L8" s="4">
        <v>2.4775</v>
      </c>
      <c r="M8" s="4">
        <v>0.84000000000000008</v>
      </c>
      <c r="N8" s="4">
        <v>2.83</v>
      </c>
      <c r="O8" s="9">
        <v>3.835</v>
      </c>
      <c r="P8" s="4">
        <v>0.87749999999999995</v>
      </c>
      <c r="Q8" s="4" t="s">
        <v>38</v>
      </c>
      <c r="R8" s="4">
        <v>1.2525000000000002</v>
      </c>
      <c r="S8" s="9" t="s">
        <v>38</v>
      </c>
    </row>
    <row r="9" spans="1:19">
      <c r="A9" s="6" t="s">
        <v>7</v>
      </c>
      <c r="B9" s="5">
        <v>1925656.1513</v>
      </c>
      <c r="C9" s="5">
        <v>484849.60411999997</v>
      </c>
      <c r="D9" s="5">
        <v>286.541787</v>
      </c>
      <c r="E9" s="17" t="s">
        <v>38</v>
      </c>
      <c r="F9" s="17" t="s">
        <v>38</v>
      </c>
      <c r="G9" s="17" t="s">
        <v>38</v>
      </c>
      <c r="H9" s="17" t="s">
        <v>38</v>
      </c>
      <c r="I9" s="17" t="s">
        <v>38</v>
      </c>
      <c r="J9" s="4">
        <v>0.46221265450253263</v>
      </c>
      <c r="K9" s="9" t="s">
        <v>38</v>
      </c>
      <c r="L9" s="4">
        <v>2.1025</v>
      </c>
      <c r="M9" s="4">
        <v>0.4325</v>
      </c>
      <c r="N9" s="4">
        <v>2.6725000000000003</v>
      </c>
      <c r="O9" s="9">
        <v>3.5149999999999997</v>
      </c>
      <c r="P9" s="4">
        <v>0.3125</v>
      </c>
      <c r="Q9" s="4" t="s">
        <v>38</v>
      </c>
      <c r="R9" s="4">
        <v>1.0375000000000001</v>
      </c>
      <c r="S9" s="9" t="s">
        <v>38</v>
      </c>
    </row>
    <row r="10" spans="1:19">
      <c r="A10" s="6" t="s">
        <v>8</v>
      </c>
      <c r="B10" s="5">
        <v>1925663.2904000001</v>
      </c>
      <c r="C10" s="5">
        <v>484831.86170000001</v>
      </c>
      <c r="D10" s="5">
        <v>288.87519200000003</v>
      </c>
      <c r="E10" s="17" t="s">
        <v>38</v>
      </c>
      <c r="F10" s="17" t="s">
        <v>38</v>
      </c>
      <c r="G10" s="17" t="s">
        <v>38</v>
      </c>
      <c r="H10" s="17" t="s">
        <v>38</v>
      </c>
      <c r="I10" s="17" t="s">
        <v>38</v>
      </c>
      <c r="J10" s="4">
        <v>0.46221265450253263</v>
      </c>
      <c r="K10" s="9" t="s">
        <v>38</v>
      </c>
      <c r="L10" s="4">
        <v>2.5975000000000001</v>
      </c>
      <c r="M10" s="4">
        <v>1.05</v>
      </c>
      <c r="N10" s="4">
        <v>3.7675000000000005</v>
      </c>
      <c r="O10" s="9">
        <v>4.1124999999999998</v>
      </c>
      <c r="P10" s="4">
        <v>0.83499999999999996</v>
      </c>
      <c r="Q10" s="4" t="s">
        <v>38</v>
      </c>
      <c r="R10" s="4">
        <v>1.71</v>
      </c>
      <c r="S10" s="9" t="s">
        <v>38</v>
      </c>
    </row>
    <row r="11" spans="1:19">
      <c r="A11" s="6" t="s">
        <v>9</v>
      </c>
      <c r="B11" s="5">
        <v>1925669.98691</v>
      </c>
      <c r="C11" s="5">
        <v>484823.32071</v>
      </c>
      <c r="D11" s="5">
        <v>289.99623100000002</v>
      </c>
      <c r="E11" s="17" t="s">
        <v>38</v>
      </c>
      <c r="F11" s="17" t="s">
        <v>38</v>
      </c>
      <c r="G11" s="17" t="s">
        <v>38</v>
      </c>
      <c r="H11" s="17" t="s">
        <v>38</v>
      </c>
      <c r="I11" s="17" t="s">
        <v>38</v>
      </c>
      <c r="J11" s="4">
        <v>0.45676790241296122</v>
      </c>
      <c r="K11" s="9" t="s">
        <v>38</v>
      </c>
      <c r="L11" s="4">
        <v>2.3125</v>
      </c>
      <c r="M11" s="4">
        <v>0.65249999999999997</v>
      </c>
      <c r="N11" s="4">
        <v>2.69</v>
      </c>
      <c r="O11" s="9">
        <v>3.4050000000000002</v>
      </c>
      <c r="P11" s="4">
        <v>0.32750000000000001</v>
      </c>
      <c r="Q11" s="4" t="s">
        <v>38</v>
      </c>
      <c r="R11" s="4">
        <v>1.0374999999999999</v>
      </c>
      <c r="S11" s="9" t="s">
        <v>38</v>
      </c>
    </row>
    <row r="12" spans="1:19">
      <c r="A12" s="6">
        <v>1</v>
      </c>
      <c r="B12" s="5">
        <v>1924970.80687</v>
      </c>
      <c r="C12" s="5">
        <v>485007.36790999997</v>
      </c>
      <c r="D12" s="5">
        <v>260.82369399999999</v>
      </c>
      <c r="E12" s="17" t="s">
        <v>38</v>
      </c>
      <c r="F12" s="17" t="s">
        <v>38</v>
      </c>
      <c r="G12" s="17" t="s">
        <v>38</v>
      </c>
      <c r="H12" s="17" t="s">
        <v>38</v>
      </c>
      <c r="I12" s="17" t="s">
        <v>38</v>
      </c>
      <c r="J12" s="4">
        <v>0.45208555389353672</v>
      </c>
      <c r="K12" s="9" t="s">
        <v>38</v>
      </c>
      <c r="L12" s="4" t="s">
        <v>38</v>
      </c>
      <c r="M12" s="4">
        <v>8.0449999999999999</v>
      </c>
      <c r="N12" s="4">
        <v>5.9849999999999994</v>
      </c>
      <c r="O12" s="9">
        <v>2.4099999999999997</v>
      </c>
      <c r="P12" s="4">
        <v>6.0779999999999994</v>
      </c>
      <c r="Q12" s="4" t="s">
        <v>38</v>
      </c>
      <c r="R12" s="4">
        <v>4.0149999999999997</v>
      </c>
      <c r="S12" s="9" t="s">
        <v>38</v>
      </c>
    </row>
    <row r="13" spans="1:19">
      <c r="A13" s="6">
        <v>2</v>
      </c>
      <c r="B13" s="5">
        <v>1924958.16976</v>
      </c>
      <c r="C13" s="5">
        <v>484885.60634</v>
      </c>
      <c r="D13" s="5">
        <v>273.87776100000002</v>
      </c>
      <c r="E13" s="17" t="s">
        <v>38</v>
      </c>
      <c r="F13" s="17" t="s">
        <v>38</v>
      </c>
      <c r="G13" s="17" t="s">
        <v>38</v>
      </c>
      <c r="H13" s="17" t="s">
        <v>38</v>
      </c>
      <c r="I13" s="17" t="s">
        <v>38</v>
      </c>
      <c r="J13" s="4">
        <v>0.46681525497242549</v>
      </c>
      <c r="K13" s="9">
        <v>3.1074999999999999</v>
      </c>
      <c r="L13" s="4">
        <v>3.7150000000000003</v>
      </c>
      <c r="M13" s="4">
        <v>4.2149999999999999</v>
      </c>
      <c r="N13" s="4">
        <v>3.8724999999999996</v>
      </c>
      <c r="O13" s="9">
        <v>4.9624999999999995</v>
      </c>
      <c r="P13" s="4">
        <v>1.4500000000000002</v>
      </c>
      <c r="Q13" s="4" t="s">
        <v>38</v>
      </c>
      <c r="R13" s="4">
        <v>2.0075000000000003</v>
      </c>
      <c r="S13" s="9" t="s">
        <v>38</v>
      </c>
    </row>
    <row r="14" spans="1:19">
      <c r="A14" s="6">
        <v>3</v>
      </c>
      <c r="B14" s="5">
        <v>1924982.42267</v>
      </c>
      <c r="C14" s="5">
        <v>484776.61148000002</v>
      </c>
      <c r="D14" s="5">
        <v>282.70424100000002</v>
      </c>
      <c r="E14" s="17" t="s">
        <v>38</v>
      </c>
      <c r="F14" s="17" t="s">
        <v>38</v>
      </c>
      <c r="G14" s="17" t="s">
        <v>38</v>
      </c>
      <c r="H14" s="17" t="s">
        <v>38</v>
      </c>
      <c r="I14" s="17" t="s">
        <v>38</v>
      </c>
      <c r="J14" s="4">
        <v>0.53717724526151234</v>
      </c>
      <c r="K14" s="9" t="s">
        <v>38</v>
      </c>
      <c r="L14" s="4">
        <v>3.7175000000000002</v>
      </c>
      <c r="M14" s="4">
        <v>4.28</v>
      </c>
      <c r="N14" s="4">
        <v>4.2249999999999996</v>
      </c>
      <c r="O14" s="9">
        <v>5.6199999999999992</v>
      </c>
      <c r="P14" s="4">
        <v>0.89000000000000012</v>
      </c>
      <c r="Q14" s="4" t="s">
        <v>38</v>
      </c>
      <c r="R14" s="4">
        <v>1.9100000000000001</v>
      </c>
      <c r="S14" s="9" t="s">
        <v>38</v>
      </c>
    </row>
    <row r="15" spans="1:19">
      <c r="A15" s="6">
        <v>4</v>
      </c>
      <c r="B15" s="5">
        <v>1924919.3660299999</v>
      </c>
      <c r="C15" s="5">
        <v>484927.41531000001</v>
      </c>
      <c r="D15" s="5">
        <v>269.64574299999998</v>
      </c>
      <c r="E15" s="17" t="s">
        <v>38</v>
      </c>
      <c r="F15" s="17" t="s">
        <v>38</v>
      </c>
      <c r="G15" s="17" t="s">
        <v>38</v>
      </c>
      <c r="H15" s="17" t="s">
        <v>38</v>
      </c>
      <c r="I15" s="17" t="s">
        <v>38</v>
      </c>
      <c r="J15" s="4">
        <v>0.54408018359678567</v>
      </c>
      <c r="K15" s="9">
        <v>3.2949999999999999</v>
      </c>
      <c r="L15" s="4">
        <v>3.98</v>
      </c>
      <c r="M15" s="4">
        <v>4.3525</v>
      </c>
      <c r="N15" s="4">
        <v>4.6849999999999996</v>
      </c>
      <c r="O15" s="9">
        <v>4.8650000000000002</v>
      </c>
      <c r="P15" s="4">
        <v>1.5024999999999999</v>
      </c>
      <c r="Q15" s="4" t="s">
        <v>38</v>
      </c>
      <c r="R15" s="4">
        <v>2.1924999999999999</v>
      </c>
      <c r="S15" s="9" t="s">
        <v>38</v>
      </c>
    </row>
    <row r="16" spans="1:19">
      <c r="A16" s="6">
        <v>5</v>
      </c>
      <c r="B16" s="5">
        <v>1924994.91542</v>
      </c>
      <c r="C16" s="5">
        <v>484842.96109</v>
      </c>
      <c r="D16" s="5">
        <v>278.27339699999999</v>
      </c>
      <c r="E16" s="17" t="s">
        <v>38</v>
      </c>
      <c r="F16" s="17" t="s">
        <v>38</v>
      </c>
      <c r="G16" s="17" t="s">
        <v>38</v>
      </c>
      <c r="H16" s="17" t="s">
        <v>38</v>
      </c>
      <c r="I16" s="17" t="s">
        <v>38</v>
      </c>
      <c r="J16" s="4">
        <v>0.5426845930024442</v>
      </c>
      <c r="K16" s="9" t="s">
        <v>38</v>
      </c>
      <c r="L16" s="4">
        <v>3.63</v>
      </c>
      <c r="M16" s="4">
        <v>4.2450000000000001</v>
      </c>
      <c r="N16" s="4">
        <v>3.6949999999999998</v>
      </c>
      <c r="O16" s="9">
        <v>5.0875000000000004</v>
      </c>
      <c r="P16" s="4">
        <v>1.1625000000000001</v>
      </c>
      <c r="Q16" s="4" t="s">
        <v>38</v>
      </c>
      <c r="R16" s="4">
        <v>1.7949999999999999</v>
      </c>
      <c r="S16" s="9" t="s">
        <v>38</v>
      </c>
    </row>
    <row r="17" spans="1:19">
      <c r="A17" s="6">
        <v>6</v>
      </c>
      <c r="B17" s="5">
        <v>1925128.5828100001</v>
      </c>
      <c r="C17" s="5">
        <v>484974.68391999998</v>
      </c>
      <c r="D17" s="5">
        <v>262.07374199999998</v>
      </c>
      <c r="E17" s="18">
        <v>14.002973000000001</v>
      </c>
      <c r="F17" s="18">
        <v>93.906700000000001</v>
      </c>
      <c r="G17" s="18">
        <v>-6.8612999999999993E-2</v>
      </c>
      <c r="H17" s="18">
        <v>126.69154399999999</v>
      </c>
      <c r="I17" s="18">
        <v>7.0760564800000001</v>
      </c>
      <c r="J17" s="4">
        <v>0.55446468035895247</v>
      </c>
      <c r="K17" s="9">
        <v>2.7149999999999999</v>
      </c>
      <c r="L17" s="4">
        <v>3.1074999999999999</v>
      </c>
      <c r="M17" s="4">
        <v>7.7524999999999995</v>
      </c>
      <c r="N17" s="4">
        <v>6.0724999999999998</v>
      </c>
      <c r="O17" s="9">
        <v>1.5925</v>
      </c>
      <c r="P17" s="4">
        <v>6.0220000000000002</v>
      </c>
      <c r="Q17" s="4">
        <v>5.0824999999999996</v>
      </c>
      <c r="R17" s="4">
        <v>3.8475000000000001</v>
      </c>
      <c r="S17" s="9">
        <v>5.86</v>
      </c>
    </row>
    <row r="18" spans="1:19">
      <c r="A18" s="6">
        <v>7</v>
      </c>
      <c r="B18" s="5">
        <v>1925112.7865800001</v>
      </c>
      <c r="C18" s="5">
        <v>484843.15071999998</v>
      </c>
      <c r="D18" s="5">
        <v>275.76109300000002</v>
      </c>
      <c r="E18" s="18">
        <v>40.922096000000003</v>
      </c>
      <c r="F18" s="18">
        <v>32.843933</v>
      </c>
      <c r="G18" s="18">
        <v>-9.5264000000000001E-2</v>
      </c>
      <c r="H18" s="18">
        <v>58.702339000000002</v>
      </c>
      <c r="I18" s="18">
        <v>2.3017177599999998</v>
      </c>
      <c r="J18" s="4">
        <v>0.59999296678854908</v>
      </c>
      <c r="K18" s="9">
        <v>3.3549999999999995</v>
      </c>
      <c r="L18" s="4">
        <v>4.1225000000000005</v>
      </c>
      <c r="M18" s="4">
        <v>4.5724999999999998</v>
      </c>
      <c r="N18" s="4">
        <v>4.2475000000000005</v>
      </c>
      <c r="O18" s="9">
        <v>5.1550000000000002</v>
      </c>
      <c r="P18" s="4">
        <v>1.4925000000000002</v>
      </c>
      <c r="Q18" s="4">
        <v>4.09</v>
      </c>
      <c r="R18" s="4">
        <v>2.0949999999999998</v>
      </c>
      <c r="S18" s="9">
        <v>4.29</v>
      </c>
    </row>
    <row r="19" spans="1:19">
      <c r="A19" s="6">
        <v>8</v>
      </c>
      <c r="B19" s="5">
        <v>1925114.17765</v>
      </c>
      <c r="C19" s="5">
        <v>484851.82228999998</v>
      </c>
      <c r="D19" s="5">
        <v>274.64775500000002</v>
      </c>
      <c r="E19" s="18">
        <v>42.517901999999999</v>
      </c>
      <c r="F19" s="18">
        <v>35.369014999999997</v>
      </c>
      <c r="G19" s="18">
        <v>0.121916</v>
      </c>
      <c r="H19" s="18">
        <v>49.751465000000003</v>
      </c>
      <c r="I19" s="18">
        <v>2.87845635</v>
      </c>
      <c r="J19" s="4">
        <v>0.59950056139565422</v>
      </c>
      <c r="K19" s="9">
        <v>3.2625000000000002</v>
      </c>
      <c r="L19" s="4">
        <v>3.8424999999999998</v>
      </c>
      <c r="M19" s="4">
        <v>4.4375</v>
      </c>
      <c r="N19" s="4">
        <v>4.0075000000000003</v>
      </c>
      <c r="O19" s="9">
        <v>5.3025000000000002</v>
      </c>
      <c r="P19" s="4">
        <v>1.665</v>
      </c>
      <c r="Q19" s="4">
        <v>4.0525000000000002</v>
      </c>
      <c r="R19" s="4">
        <v>2.04</v>
      </c>
      <c r="S19" s="9">
        <v>4.5425000000000004</v>
      </c>
    </row>
    <row r="20" spans="1:19">
      <c r="A20" s="6">
        <v>9</v>
      </c>
      <c r="B20" s="5">
        <v>1925125.3059100001</v>
      </c>
      <c r="C20" s="5">
        <v>484828.70159999997</v>
      </c>
      <c r="D20" s="5">
        <v>277.24788100000001</v>
      </c>
      <c r="E20" s="18">
        <v>38.663200000000003</v>
      </c>
      <c r="F20" s="18">
        <v>30.805921999999999</v>
      </c>
      <c r="G20" s="18">
        <v>-0.288628</v>
      </c>
      <c r="H20" s="18">
        <v>85.039344999999997</v>
      </c>
      <c r="I20" s="18">
        <v>3.0057544699999998</v>
      </c>
      <c r="J20" s="4">
        <v>0.74510802391774866</v>
      </c>
      <c r="K20" s="9">
        <v>2.3975</v>
      </c>
      <c r="L20" s="4">
        <v>4.1375000000000002</v>
      </c>
      <c r="M20" s="4">
        <v>4.4499999999999993</v>
      </c>
      <c r="N20" s="4">
        <v>4.0574999999999992</v>
      </c>
      <c r="O20" s="9">
        <v>5.4824999999999999</v>
      </c>
      <c r="P20" s="4">
        <v>1.3</v>
      </c>
      <c r="Q20" s="4">
        <v>3.5874999999999995</v>
      </c>
      <c r="R20" s="4">
        <v>1.8975</v>
      </c>
      <c r="S20" s="9">
        <v>4.2799999999999994</v>
      </c>
    </row>
    <row r="21" spans="1:19">
      <c r="A21" s="6">
        <v>10</v>
      </c>
      <c r="B21" s="5">
        <v>1925078.1646</v>
      </c>
      <c r="C21" s="5">
        <v>484826.14944000001</v>
      </c>
      <c r="D21" s="5">
        <v>278.629929</v>
      </c>
      <c r="E21" s="18">
        <v>36.805267000000001</v>
      </c>
      <c r="F21" s="18">
        <v>23.135372</v>
      </c>
      <c r="G21" s="18">
        <v>0.29826799999999998</v>
      </c>
      <c r="H21" s="18">
        <v>64.019051000000005</v>
      </c>
      <c r="I21" s="18">
        <v>2.4796021000000001</v>
      </c>
      <c r="J21" s="4">
        <v>0.72836437950151556</v>
      </c>
      <c r="K21" s="9">
        <v>2.9725000000000001</v>
      </c>
      <c r="L21" s="4">
        <v>3.5075000000000003</v>
      </c>
      <c r="M21" s="4">
        <v>3.9124999999999996</v>
      </c>
      <c r="N21" s="4">
        <v>3.7525000000000004</v>
      </c>
      <c r="O21" s="9">
        <v>5.0225000000000009</v>
      </c>
      <c r="P21" s="4">
        <v>1.1274999999999999</v>
      </c>
      <c r="Q21" s="4">
        <v>3.5749999999999997</v>
      </c>
      <c r="R21" s="4">
        <v>1.585</v>
      </c>
      <c r="S21" s="9">
        <v>4.0424999999999995</v>
      </c>
    </row>
    <row r="22" spans="1:19">
      <c r="A22" s="6">
        <v>11</v>
      </c>
      <c r="B22" s="5">
        <v>1925313.20055</v>
      </c>
      <c r="C22" s="5">
        <v>484950.03863000002</v>
      </c>
      <c r="D22" s="5">
        <v>264.78368699999999</v>
      </c>
      <c r="E22" s="18">
        <v>17.54476</v>
      </c>
      <c r="F22" s="18">
        <v>473.736694</v>
      </c>
      <c r="G22" s="18">
        <v>-0.44002999999999998</v>
      </c>
      <c r="H22" s="18">
        <v>113.306702</v>
      </c>
      <c r="I22" s="18">
        <v>6.0239563</v>
      </c>
      <c r="J22" s="4">
        <v>0.65320100034462292</v>
      </c>
      <c r="K22" s="9">
        <v>3.77</v>
      </c>
      <c r="L22" s="4">
        <v>3.1875</v>
      </c>
      <c r="M22" s="4">
        <v>2.0825</v>
      </c>
      <c r="N22" s="4">
        <v>5.8949999999999996</v>
      </c>
      <c r="O22" s="9">
        <v>5.6024999999999991</v>
      </c>
      <c r="P22" s="4">
        <v>3.4000000000000004</v>
      </c>
      <c r="Q22" s="4">
        <v>4.7300000000000004</v>
      </c>
      <c r="R22" s="4">
        <v>2.6174999999999997</v>
      </c>
      <c r="S22" s="9">
        <v>4.9874999999999998</v>
      </c>
    </row>
    <row r="23" spans="1:19">
      <c r="A23" s="6">
        <v>12</v>
      </c>
      <c r="B23" s="5">
        <v>1925319.9279</v>
      </c>
      <c r="C23" s="5">
        <v>484853.42924000003</v>
      </c>
      <c r="D23" s="5">
        <v>271.497928</v>
      </c>
      <c r="E23" s="18">
        <v>25.426991000000001</v>
      </c>
      <c r="F23" s="18">
        <v>675.96905500000003</v>
      </c>
      <c r="G23" s="18">
        <v>-1.7623880000000001</v>
      </c>
      <c r="H23" s="18">
        <v>146.57762099999999</v>
      </c>
      <c r="I23" s="18">
        <v>5.1079311399999998</v>
      </c>
      <c r="J23" s="4">
        <v>0.66771426719147142</v>
      </c>
      <c r="K23" s="9">
        <v>3.4624999999999999</v>
      </c>
      <c r="L23" s="4">
        <v>3.93</v>
      </c>
      <c r="M23" s="4">
        <v>1.7625000000000002</v>
      </c>
      <c r="N23" s="4">
        <v>4.58</v>
      </c>
      <c r="O23" s="9">
        <v>5.1275000000000004</v>
      </c>
      <c r="P23" s="4">
        <v>1.75</v>
      </c>
      <c r="Q23" s="4">
        <v>4.5225</v>
      </c>
      <c r="R23" s="4">
        <v>2.165</v>
      </c>
      <c r="S23" s="9">
        <v>4.7124999999999995</v>
      </c>
    </row>
    <row r="24" spans="1:19">
      <c r="A24" s="6">
        <v>13</v>
      </c>
      <c r="B24" s="5">
        <v>1925376.44517</v>
      </c>
      <c r="C24" s="5">
        <v>484728.63880999997</v>
      </c>
      <c r="D24" s="5">
        <v>282.55737699999997</v>
      </c>
      <c r="E24" s="18">
        <v>26.513559000000001</v>
      </c>
      <c r="F24" s="18">
        <v>31.8689</v>
      </c>
      <c r="G24" s="18">
        <v>-1.573561</v>
      </c>
      <c r="H24" s="18">
        <v>74.023148000000006</v>
      </c>
      <c r="I24" s="18">
        <v>3.3696384400000001</v>
      </c>
      <c r="J24" s="4">
        <v>0.63669162650125932</v>
      </c>
      <c r="K24" s="9">
        <v>2.2149999999999999</v>
      </c>
      <c r="L24" s="4">
        <v>2.6574999999999998</v>
      </c>
      <c r="M24" s="4">
        <v>4.21</v>
      </c>
      <c r="N24" s="4">
        <v>3.9424999999999999</v>
      </c>
      <c r="O24" s="9">
        <v>4.1174999999999997</v>
      </c>
      <c r="P24" s="4">
        <v>1.0625</v>
      </c>
      <c r="Q24" s="4">
        <v>3.95</v>
      </c>
      <c r="R24" s="4">
        <v>1.5600000000000003</v>
      </c>
      <c r="S24" s="9">
        <v>3.7424999999999997</v>
      </c>
    </row>
    <row r="25" spans="1:19">
      <c r="A25" s="6">
        <v>14</v>
      </c>
      <c r="B25" s="5">
        <v>1925407.9687300001</v>
      </c>
      <c r="C25" s="5">
        <v>484683.96993000002</v>
      </c>
      <c r="D25" s="5">
        <v>286.22417799999999</v>
      </c>
      <c r="E25" s="18">
        <v>8.7723429999999993</v>
      </c>
      <c r="F25" s="18">
        <v>2.5020959999999999</v>
      </c>
      <c r="G25" s="18">
        <v>0.45080399999999998</v>
      </c>
      <c r="H25" s="18">
        <v>33.234549999999999</v>
      </c>
      <c r="I25" s="17">
        <v>1.1862459999999999</v>
      </c>
      <c r="J25" s="4">
        <v>0.59458794208698729</v>
      </c>
      <c r="K25" s="9" t="s">
        <v>38</v>
      </c>
      <c r="L25" s="4">
        <v>2.9424999999999999</v>
      </c>
      <c r="M25" s="4">
        <v>4.2549999999999999</v>
      </c>
      <c r="N25" s="4">
        <v>3.2225000000000001</v>
      </c>
      <c r="O25" s="9">
        <v>4.0999999999999996</v>
      </c>
      <c r="P25" s="4">
        <v>0.90500000000000003</v>
      </c>
      <c r="Q25" s="4">
        <v>3.6924999999999999</v>
      </c>
      <c r="R25" s="4">
        <v>1.605</v>
      </c>
      <c r="S25" s="9">
        <v>3.6100000000000003</v>
      </c>
    </row>
    <row r="26" spans="1:19">
      <c r="A26" s="6">
        <v>15</v>
      </c>
      <c r="B26" s="5">
        <v>1925573.44346</v>
      </c>
      <c r="C26" s="5">
        <v>485010.67401000002</v>
      </c>
      <c r="D26" s="5">
        <v>268.36423300000001</v>
      </c>
      <c r="E26" s="18">
        <v>3.754162</v>
      </c>
      <c r="F26" s="18">
        <v>23534.167969999999</v>
      </c>
      <c r="G26" s="18">
        <v>-1.3359669999999999</v>
      </c>
      <c r="H26" s="18">
        <v>134.85818499999999</v>
      </c>
      <c r="I26" s="18">
        <v>5.0698475800000002</v>
      </c>
      <c r="J26" s="4">
        <v>0.65832932441377789</v>
      </c>
      <c r="K26" s="9" t="s">
        <v>38</v>
      </c>
      <c r="L26" s="4" t="s">
        <v>38</v>
      </c>
      <c r="M26" s="4" t="s">
        <v>38</v>
      </c>
      <c r="N26" s="4" t="s">
        <v>38</v>
      </c>
      <c r="O26" s="9" t="s">
        <v>38</v>
      </c>
      <c r="P26" s="4" t="s">
        <v>38</v>
      </c>
      <c r="Q26" s="4" t="s">
        <v>38</v>
      </c>
      <c r="R26" s="4" t="s">
        <v>38</v>
      </c>
      <c r="S26" s="9" t="s">
        <v>38</v>
      </c>
    </row>
    <row r="27" spans="1:19">
      <c r="A27" s="6" t="s">
        <v>10</v>
      </c>
      <c r="B27" s="5">
        <v>1925577.5333499999</v>
      </c>
      <c r="C27" s="5">
        <v>485008.25702000002</v>
      </c>
      <c r="D27" s="5">
        <v>268.46490999999997</v>
      </c>
      <c r="E27" s="18">
        <v>5.916925</v>
      </c>
      <c r="F27" s="18">
        <v>4047.6870119999999</v>
      </c>
      <c r="G27" s="18">
        <v>-0.64983800000000003</v>
      </c>
      <c r="H27" s="18">
        <v>136.12080399999999</v>
      </c>
      <c r="I27" s="18">
        <v>3.74387479</v>
      </c>
      <c r="J27" s="4">
        <v>0.53717724526151234</v>
      </c>
      <c r="K27" s="9">
        <v>0.51249999999999996</v>
      </c>
      <c r="L27" s="4">
        <v>3.1574999999999998</v>
      </c>
      <c r="M27" s="4">
        <v>2.14</v>
      </c>
      <c r="N27" s="4">
        <v>2.4725000000000001</v>
      </c>
      <c r="O27" s="9">
        <v>1.6675</v>
      </c>
      <c r="P27" s="4">
        <v>2.2124999999999999</v>
      </c>
      <c r="Q27" s="4">
        <v>5.2874999999999996</v>
      </c>
      <c r="R27" s="4">
        <v>3.8220000000000001</v>
      </c>
      <c r="S27" s="9">
        <v>3.2450000000000001</v>
      </c>
    </row>
    <row r="28" spans="1:19">
      <c r="A28" s="6" t="s">
        <v>11</v>
      </c>
      <c r="B28" s="5">
        <v>1925571.48284</v>
      </c>
      <c r="C28" s="5">
        <v>485006.46337999997</v>
      </c>
      <c r="D28" s="5">
        <v>268.30750699999999</v>
      </c>
      <c r="E28" s="18">
        <v>5.3286490000000004</v>
      </c>
      <c r="F28" s="18">
        <v>10911.228520000001</v>
      </c>
      <c r="G28" s="18">
        <v>-0.62829000000000002</v>
      </c>
      <c r="H28" s="18">
        <v>133.342499</v>
      </c>
      <c r="I28" s="18">
        <v>4.0488572100000004</v>
      </c>
      <c r="J28" s="4">
        <v>0.54408018359678567</v>
      </c>
      <c r="K28" s="9">
        <v>0.3775</v>
      </c>
      <c r="L28" s="4">
        <v>2.9024999999999999</v>
      </c>
      <c r="M28" s="4">
        <v>1.3774999999999999</v>
      </c>
      <c r="N28" s="4">
        <v>2.2575000000000003</v>
      </c>
      <c r="O28" s="9">
        <v>1.895</v>
      </c>
      <c r="P28" s="4">
        <v>1.9675</v>
      </c>
      <c r="Q28" s="4">
        <v>5.81</v>
      </c>
      <c r="R28" s="4">
        <v>3.048</v>
      </c>
      <c r="S28" s="9">
        <v>2.65</v>
      </c>
    </row>
    <row r="29" spans="1:19">
      <c r="A29" s="6" t="s">
        <v>12</v>
      </c>
      <c r="B29" s="5">
        <v>1925569.5104</v>
      </c>
      <c r="C29" s="5">
        <v>485012.72386999999</v>
      </c>
      <c r="D29" s="5">
        <v>268.29167899999999</v>
      </c>
      <c r="E29" s="18">
        <v>5.3659499999999998</v>
      </c>
      <c r="F29" s="18">
        <v>9717.2851559999999</v>
      </c>
      <c r="G29" s="18">
        <v>-1.4119520000000001</v>
      </c>
      <c r="H29" s="18">
        <v>132.57872</v>
      </c>
      <c r="I29" s="18">
        <v>5.6556100799999998</v>
      </c>
      <c r="J29" s="4">
        <v>0.54268459300244387</v>
      </c>
      <c r="K29" s="9">
        <v>0.26250000000000001</v>
      </c>
      <c r="L29" s="4">
        <v>2.6225000000000001</v>
      </c>
      <c r="M29" s="4">
        <v>1.5200000000000002</v>
      </c>
      <c r="N29" s="4">
        <v>2.1350000000000002</v>
      </c>
      <c r="O29" s="9">
        <v>1.615</v>
      </c>
      <c r="P29" s="4">
        <v>1.825</v>
      </c>
      <c r="Q29" s="4">
        <v>5.1199999999999992</v>
      </c>
      <c r="R29" s="4">
        <v>2.7079999999999997</v>
      </c>
      <c r="S29" s="9">
        <v>2.4325000000000001</v>
      </c>
    </row>
    <row r="30" spans="1:19">
      <c r="A30" s="6" t="s">
        <v>13</v>
      </c>
      <c r="B30" s="5">
        <v>1925575.8125499999</v>
      </c>
      <c r="C30" s="5">
        <v>485014.77505</v>
      </c>
      <c r="D30" s="5">
        <v>268.371127</v>
      </c>
      <c r="E30" s="18">
        <v>4.2093420000000004</v>
      </c>
      <c r="F30" s="18">
        <v>14533.503909999999</v>
      </c>
      <c r="G30" s="18">
        <v>-1.2554460000000001</v>
      </c>
      <c r="H30" s="18">
        <v>136.234207</v>
      </c>
      <c r="I30" s="18">
        <v>5.6699276000000003</v>
      </c>
      <c r="J30" s="4">
        <v>0.55446468035895236</v>
      </c>
      <c r="K30" s="9">
        <v>0.51500000000000001</v>
      </c>
      <c r="L30" s="4">
        <v>3.585</v>
      </c>
      <c r="M30" s="4">
        <v>1.8875000000000002</v>
      </c>
      <c r="N30" s="4">
        <v>1.75</v>
      </c>
      <c r="O30" s="9">
        <v>1.4575</v>
      </c>
      <c r="P30" s="4">
        <v>1.655</v>
      </c>
      <c r="Q30" s="4">
        <v>4.8525</v>
      </c>
      <c r="R30" s="4">
        <v>2.8075000000000001</v>
      </c>
      <c r="S30" s="9">
        <v>2.5175000000000001</v>
      </c>
    </row>
    <row r="31" spans="1:19">
      <c r="A31" s="6">
        <v>22</v>
      </c>
      <c r="B31" s="5">
        <v>1925718.0042000001</v>
      </c>
      <c r="C31" s="5">
        <v>485047.57682000002</v>
      </c>
      <c r="D31" s="5">
        <v>270.647087</v>
      </c>
      <c r="E31" s="18">
        <v>14.408835</v>
      </c>
      <c r="F31" s="18">
        <v>76.877121000000002</v>
      </c>
      <c r="G31" s="18">
        <v>-0.56421399999999999</v>
      </c>
      <c r="H31" s="18">
        <v>134.231888</v>
      </c>
      <c r="I31" s="18">
        <v>5.5795908000000001</v>
      </c>
      <c r="J31" s="4">
        <v>0.57421475789692389</v>
      </c>
      <c r="K31" s="9" t="s">
        <v>38</v>
      </c>
      <c r="L31" s="4">
        <v>2.5675000000000003</v>
      </c>
      <c r="M31" s="4">
        <v>6.8949999999999996</v>
      </c>
      <c r="N31" s="4">
        <v>3.76</v>
      </c>
      <c r="O31" s="9">
        <v>2.2875000000000001</v>
      </c>
      <c r="P31" s="4">
        <v>2.0124999999999997</v>
      </c>
      <c r="Q31" s="4">
        <v>4.62</v>
      </c>
      <c r="R31" s="4">
        <v>2.2475000000000001</v>
      </c>
      <c r="S31" s="9">
        <v>4.5024999999999995</v>
      </c>
    </row>
    <row r="32" spans="1:19">
      <c r="A32" s="6">
        <v>23</v>
      </c>
      <c r="B32" s="5">
        <v>1925783.37283</v>
      </c>
      <c r="C32" s="5">
        <v>484908.73096999998</v>
      </c>
      <c r="D32" s="5">
        <v>284.54119300000002</v>
      </c>
      <c r="E32" s="17" t="s">
        <v>38</v>
      </c>
      <c r="F32" s="17" t="s">
        <v>38</v>
      </c>
      <c r="G32" s="17" t="s">
        <v>38</v>
      </c>
      <c r="H32" s="17" t="s">
        <v>38</v>
      </c>
      <c r="I32" s="17" t="s">
        <v>38</v>
      </c>
      <c r="J32" s="4">
        <v>0.767373785449047</v>
      </c>
      <c r="K32" s="9">
        <v>2.4074999999999998</v>
      </c>
      <c r="L32" s="4">
        <v>2.9474999999999998</v>
      </c>
      <c r="M32" s="4">
        <v>0.6</v>
      </c>
      <c r="N32" s="4">
        <v>1.6199999999999999</v>
      </c>
      <c r="O32" s="9">
        <v>3.9424999999999999</v>
      </c>
      <c r="P32" s="4">
        <v>0.47499999999999998</v>
      </c>
      <c r="Q32" s="4" t="s">
        <v>38</v>
      </c>
      <c r="R32" s="4">
        <v>1.2775000000000001</v>
      </c>
      <c r="S32" s="9" t="s">
        <v>38</v>
      </c>
    </row>
    <row r="33" spans="1:19">
      <c r="A33" s="6">
        <v>24</v>
      </c>
      <c r="B33" s="5">
        <v>1925815.0679800001</v>
      </c>
      <c r="C33" s="5">
        <v>484778.45497999998</v>
      </c>
      <c r="D33" s="5">
        <v>298.216297</v>
      </c>
      <c r="E33" s="17" t="s">
        <v>38</v>
      </c>
      <c r="F33" s="17" t="s">
        <v>38</v>
      </c>
      <c r="G33" s="17" t="s">
        <v>38</v>
      </c>
      <c r="H33" s="17" t="s">
        <v>38</v>
      </c>
      <c r="I33" s="17" t="s">
        <v>38</v>
      </c>
      <c r="J33" s="4">
        <v>0.75419658461602701</v>
      </c>
      <c r="K33" s="9" t="s">
        <v>38</v>
      </c>
      <c r="L33" s="4">
        <v>2.355</v>
      </c>
      <c r="M33" s="4">
        <v>0.57999999999999996</v>
      </c>
      <c r="N33" s="4">
        <v>1.7449999999999999</v>
      </c>
      <c r="O33" s="9">
        <v>3.3925000000000001</v>
      </c>
      <c r="P33" s="4">
        <v>0.54249999999999998</v>
      </c>
      <c r="Q33" s="4" t="s">
        <v>38</v>
      </c>
      <c r="R33" s="4">
        <v>1.3425000000000002</v>
      </c>
      <c r="S33" s="9" t="s">
        <v>38</v>
      </c>
    </row>
    <row r="34" spans="1:19">
      <c r="A34" s="6">
        <v>25</v>
      </c>
      <c r="B34" s="5">
        <v>1925739.1721399999</v>
      </c>
      <c r="C34" s="5">
        <v>484943.10590000002</v>
      </c>
      <c r="D34" s="5">
        <v>279.562297</v>
      </c>
      <c r="E34" s="17" t="s">
        <v>38</v>
      </c>
      <c r="F34" s="17" t="s">
        <v>38</v>
      </c>
      <c r="G34" s="17" t="s">
        <v>38</v>
      </c>
      <c r="H34" s="17" t="s">
        <v>38</v>
      </c>
      <c r="I34" s="17" t="s">
        <v>38</v>
      </c>
      <c r="J34" s="4">
        <v>0.754632489639397</v>
      </c>
      <c r="K34" s="9">
        <v>2.7625000000000002</v>
      </c>
      <c r="L34" s="4">
        <v>2.7</v>
      </c>
      <c r="M34" s="4">
        <v>0.9900000000000001</v>
      </c>
      <c r="N34" s="4">
        <v>1.9725000000000001</v>
      </c>
      <c r="O34" s="9">
        <v>4.3224999999999998</v>
      </c>
      <c r="P34" s="4">
        <v>1.2025000000000001</v>
      </c>
      <c r="Q34" s="4" t="s">
        <v>38</v>
      </c>
      <c r="R34" s="4">
        <v>1.7349999999999999</v>
      </c>
      <c r="S34" s="9" t="s">
        <v>38</v>
      </c>
    </row>
    <row r="35" spans="1:19">
      <c r="A35" s="6">
        <v>26</v>
      </c>
      <c r="B35" s="5">
        <v>1925829.0075900001</v>
      </c>
      <c r="C35" s="5">
        <v>484873.35243000003</v>
      </c>
      <c r="D35" s="5">
        <v>290.39248199999997</v>
      </c>
      <c r="E35" s="17" t="s">
        <v>38</v>
      </c>
      <c r="F35" s="17" t="s">
        <v>38</v>
      </c>
      <c r="G35" s="17" t="s">
        <v>38</v>
      </c>
      <c r="H35" s="17" t="s">
        <v>38</v>
      </c>
      <c r="I35" s="17" t="s">
        <v>38</v>
      </c>
      <c r="J35" s="4">
        <v>0.79110415200373163</v>
      </c>
      <c r="K35" s="9" t="s">
        <v>38</v>
      </c>
      <c r="L35" s="4">
        <v>4.2149999999999999</v>
      </c>
      <c r="M35" s="4">
        <v>2.0249999999999999</v>
      </c>
      <c r="N35" s="4">
        <v>2.6425000000000001</v>
      </c>
      <c r="O35" s="9">
        <v>5.5175000000000001</v>
      </c>
      <c r="P35" s="4">
        <v>1.4550000000000001</v>
      </c>
      <c r="Q35" s="4" t="s">
        <v>38</v>
      </c>
      <c r="R35" s="4">
        <v>3.0175000000000001</v>
      </c>
      <c r="S35" s="9" t="s">
        <v>38</v>
      </c>
    </row>
    <row r="36" spans="1:19">
      <c r="A36" s="6">
        <v>27</v>
      </c>
      <c r="B36" s="5">
        <v>1925756.14454</v>
      </c>
      <c r="C36" s="5">
        <v>485057.00822999998</v>
      </c>
      <c r="D36" s="5">
        <v>271.10893800000002</v>
      </c>
      <c r="E36" s="18">
        <v>13.931126000000001</v>
      </c>
      <c r="F36" s="18">
        <v>106.965523</v>
      </c>
      <c r="G36" s="18">
        <v>-0.76891799999999999</v>
      </c>
      <c r="H36" s="18">
        <v>115.24921399999999</v>
      </c>
      <c r="I36" s="18">
        <v>6.0780043600000004</v>
      </c>
      <c r="J36" s="4">
        <v>0.81501778746262776</v>
      </c>
      <c r="K36" s="9">
        <v>0.11</v>
      </c>
      <c r="L36" s="4">
        <v>2.5549999999999997</v>
      </c>
      <c r="M36" s="4">
        <v>7.0400000000000009</v>
      </c>
      <c r="N36" s="4">
        <v>4.0449999999999999</v>
      </c>
      <c r="O36" s="9">
        <v>1.62</v>
      </c>
      <c r="P36" s="4">
        <v>2.83</v>
      </c>
      <c r="Q36" s="4">
        <v>4.7874999999999996</v>
      </c>
      <c r="R36" s="4">
        <v>3.4799999999999995</v>
      </c>
      <c r="S36" s="9">
        <v>5.1849999999999996</v>
      </c>
    </row>
    <row r="37" spans="1:19">
      <c r="A37" s="6">
        <v>28</v>
      </c>
      <c r="B37" s="5">
        <v>1925810.44627</v>
      </c>
      <c r="C37" s="5">
        <v>485022.67233999999</v>
      </c>
      <c r="D37" s="5">
        <v>274.62673999999998</v>
      </c>
      <c r="E37" s="18">
        <v>22.474568999999999</v>
      </c>
      <c r="F37" s="18">
        <v>862.06854199999998</v>
      </c>
      <c r="G37" s="18">
        <v>-1.224259</v>
      </c>
      <c r="H37" s="18">
        <v>86.59581</v>
      </c>
      <c r="I37" s="18">
        <v>4.8848729100000003</v>
      </c>
      <c r="J37" s="4">
        <v>0.82229927736982455</v>
      </c>
      <c r="K37" s="9">
        <v>3.25</v>
      </c>
      <c r="L37" s="4">
        <v>3.5975000000000001</v>
      </c>
      <c r="M37" s="4">
        <v>6.4874999999999998</v>
      </c>
      <c r="N37" s="4">
        <v>1.7849999999999999</v>
      </c>
      <c r="O37" s="9">
        <v>4.5875000000000004</v>
      </c>
      <c r="P37" s="4">
        <v>4.7249999999999996</v>
      </c>
      <c r="Q37" s="4">
        <v>4.0925000000000002</v>
      </c>
      <c r="R37" s="4">
        <v>1.8274999999999999</v>
      </c>
      <c r="S37" s="9">
        <v>4.1074999999999999</v>
      </c>
    </row>
    <row r="38" spans="1:19">
      <c r="A38" s="6">
        <v>29</v>
      </c>
      <c r="B38" s="5">
        <v>1925920.38372</v>
      </c>
      <c r="C38" s="5">
        <v>484927.28769000003</v>
      </c>
      <c r="D38" s="5">
        <v>287.06805100000003</v>
      </c>
      <c r="E38" s="18">
        <v>24.526198999999998</v>
      </c>
      <c r="F38" s="18">
        <v>289.63653599999998</v>
      </c>
      <c r="G38" s="18">
        <v>-0.49560100000000001</v>
      </c>
      <c r="H38" s="18">
        <v>59.187313000000003</v>
      </c>
      <c r="I38" s="18">
        <v>4.6615881899999998</v>
      </c>
      <c r="J38" s="4">
        <v>2.01397526848681</v>
      </c>
      <c r="K38" s="9">
        <v>2.4674999999999998</v>
      </c>
      <c r="L38" s="4">
        <v>2.855</v>
      </c>
      <c r="M38" s="4">
        <v>0.91999999999999993</v>
      </c>
      <c r="N38" s="4">
        <v>1.3149999999999999</v>
      </c>
      <c r="O38" s="9">
        <v>3.92</v>
      </c>
      <c r="P38" s="4">
        <v>3.88</v>
      </c>
      <c r="Q38" s="4">
        <v>3.4850000000000003</v>
      </c>
      <c r="R38" s="4">
        <v>1.2224999999999999</v>
      </c>
      <c r="S38" s="9">
        <v>3.3425000000000002</v>
      </c>
    </row>
    <row r="39" spans="1:19">
      <c r="A39" s="6">
        <v>30</v>
      </c>
      <c r="B39" s="5">
        <v>1926051.62525</v>
      </c>
      <c r="C39" s="5">
        <v>484813.30333999998</v>
      </c>
      <c r="D39" s="5">
        <v>299.52209699999997</v>
      </c>
      <c r="E39" s="16" t="s">
        <v>38</v>
      </c>
      <c r="F39" s="16" t="s">
        <v>38</v>
      </c>
      <c r="G39" s="16" t="s">
        <v>38</v>
      </c>
      <c r="H39" s="16" t="s">
        <v>38</v>
      </c>
      <c r="I39" s="16" t="s">
        <v>38</v>
      </c>
      <c r="J39" s="4">
        <v>2.0181367169828826</v>
      </c>
      <c r="K39" s="9" t="s">
        <v>38</v>
      </c>
      <c r="L39" s="4">
        <v>2.9625000000000004</v>
      </c>
      <c r="M39" s="4">
        <v>0.51749999999999996</v>
      </c>
      <c r="N39" s="4">
        <v>1.835</v>
      </c>
      <c r="O39" s="9">
        <v>3.4325000000000001</v>
      </c>
      <c r="P39" s="4">
        <v>3.5024999999999999</v>
      </c>
      <c r="Q39" s="4" t="s">
        <v>38</v>
      </c>
      <c r="R39" s="4">
        <v>3.3024999999999998</v>
      </c>
      <c r="S39" s="9" t="s">
        <v>38</v>
      </c>
    </row>
    <row r="40" spans="1:19">
      <c r="A40" s="6">
        <v>31</v>
      </c>
      <c r="B40" s="5">
        <v>1926045.40643</v>
      </c>
      <c r="C40" s="5">
        <v>485124.2745</v>
      </c>
      <c r="D40" s="5">
        <v>286.16206199999999</v>
      </c>
      <c r="E40" s="18">
        <v>38.014136999999998</v>
      </c>
      <c r="F40" s="18">
        <v>48.645645000000002</v>
      </c>
      <c r="G40" s="18">
        <v>0.39863500000000002</v>
      </c>
      <c r="H40" s="18">
        <v>68.461760999999996</v>
      </c>
      <c r="I40" s="18">
        <v>2.0775220399999998</v>
      </c>
      <c r="J40" s="4">
        <v>2.01397526848681</v>
      </c>
      <c r="K40" s="9">
        <v>2.42</v>
      </c>
      <c r="L40" s="4">
        <v>1.0525</v>
      </c>
      <c r="M40" s="4">
        <v>0.66749999999999998</v>
      </c>
      <c r="N40" s="4">
        <v>1.55</v>
      </c>
      <c r="O40" s="9">
        <v>3.2724999999999995</v>
      </c>
      <c r="P40" s="4">
        <v>3.2249999999999996</v>
      </c>
      <c r="Q40" s="4">
        <v>3.3574999999999999</v>
      </c>
      <c r="R40" s="4">
        <v>4.3100000000000005</v>
      </c>
      <c r="S40" s="9">
        <v>2.5874999999999999</v>
      </c>
    </row>
    <row r="41" spans="1:19">
      <c r="A41" s="6">
        <v>32</v>
      </c>
      <c r="B41" s="5">
        <v>1926084.4513000001</v>
      </c>
      <c r="C41" s="5">
        <v>485250.98488</v>
      </c>
      <c r="D41" s="5">
        <v>278.95836100000002</v>
      </c>
      <c r="E41" s="18">
        <v>7.0141299999999998</v>
      </c>
      <c r="F41" s="18">
        <v>4667.5322269999997</v>
      </c>
      <c r="G41" s="18">
        <v>-1.6591849999999999</v>
      </c>
      <c r="H41" s="18">
        <v>101.824783</v>
      </c>
      <c r="I41" s="18">
        <v>4.7251262699999996</v>
      </c>
      <c r="J41" s="4">
        <v>1.7930787495896283</v>
      </c>
      <c r="K41" s="9">
        <v>2.8325</v>
      </c>
      <c r="L41" s="4">
        <v>3.3150000000000004</v>
      </c>
      <c r="M41" s="4">
        <v>1.6849999999999998</v>
      </c>
      <c r="N41" s="4">
        <v>2.56</v>
      </c>
      <c r="O41" s="9">
        <v>1.2974999999999999</v>
      </c>
      <c r="P41" s="4">
        <v>4.1000000000000005</v>
      </c>
      <c r="Q41" s="4">
        <v>4.13</v>
      </c>
      <c r="R41" s="4">
        <v>5.1475000000000009</v>
      </c>
      <c r="S41" s="9">
        <v>1.5475000000000001</v>
      </c>
    </row>
    <row r="42" spans="1:19">
      <c r="A42" s="6">
        <v>33</v>
      </c>
      <c r="B42" s="5">
        <v>1926134.80914</v>
      </c>
      <c r="C42" s="5">
        <v>485221.17161999998</v>
      </c>
      <c r="D42" s="5">
        <v>283.47722099999999</v>
      </c>
      <c r="E42" s="18" t="s">
        <v>38</v>
      </c>
      <c r="F42" s="18" t="s">
        <v>38</v>
      </c>
      <c r="G42" s="18" t="s">
        <v>38</v>
      </c>
      <c r="H42" s="18" t="s">
        <v>38</v>
      </c>
      <c r="I42" s="18" t="s">
        <v>38</v>
      </c>
      <c r="J42" s="4">
        <v>1.9812092037061788</v>
      </c>
      <c r="K42" s="9">
        <v>3.3025000000000002</v>
      </c>
      <c r="L42" s="4">
        <v>4.29</v>
      </c>
      <c r="M42" s="4">
        <v>1.83</v>
      </c>
      <c r="N42" s="4">
        <v>3.4925000000000002</v>
      </c>
      <c r="O42" s="9">
        <v>5.4224999999999994</v>
      </c>
      <c r="P42" s="4">
        <v>5.0374999999999996</v>
      </c>
      <c r="Q42" s="4" t="s">
        <v>38</v>
      </c>
      <c r="R42" s="4">
        <v>5.2275</v>
      </c>
      <c r="S42" s="9" t="s">
        <v>38</v>
      </c>
    </row>
    <row r="43" spans="1:19">
      <c r="A43" s="6">
        <v>34</v>
      </c>
      <c r="B43" s="5">
        <v>1926185.90976</v>
      </c>
      <c r="C43" s="5">
        <v>485204.96561000001</v>
      </c>
      <c r="D43" s="5">
        <v>287.90168399999999</v>
      </c>
      <c r="E43" s="18">
        <v>37.239220000000003</v>
      </c>
      <c r="F43" s="18">
        <v>32.937649</v>
      </c>
      <c r="G43" s="18">
        <v>-0.13042100000000001</v>
      </c>
      <c r="H43" s="18">
        <v>50.172688000000001</v>
      </c>
      <c r="I43" s="18">
        <v>2.3329667999999999</v>
      </c>
      <c r="J43" s="4">
        <v>1.9290084954223161</v>
      </c>
      <c r="K43" s="9" t="s">
        <v>38</v>
      </c>
      <c r="L43" s="4">
        <v>2.7675000000000001</v>
      </c>
      <c r="M43" s="4">
        <v>0.92500000000000004</v>
      </c>
      <c r="N43" s="4">
        <v>2.6925000000000003</v>
      </c>
      <c r="O43" s="9">
        <v>3.5349999999999997</v>
      </c>
      <c r="P43" s="4">
        <v>3.5825</v>
      </c>
      <c r="Q43" s="4">
        <v>3.5925000000000002</v>
      </c>
      <c r="R43" s="4">
        <v>4.4050000000000002</v>
      </c>
      <c r="S43" s="9">
        <v>3.0725000000000002</v>
      </c>
    </row>
    <row r="44" spans="1:19">
      <c r="A44" s="6">
        <v>35</v>
      </c>
      <c r="B44" s="5">
        <v>1926263.4476600001</v>
      </c>
      <c r="C44" s="5">
        <v>485295.54187000002</v>
      </c>
      <c r="D44" s="5">
        <v>287.043611</v>
      </c>
      <c r="E44" s="17" t="s">
        <v>38</v>
      </c>
      <c r="F44" s="17" t="s">
        <v>38</v>
      </c>
      <c r="G44" s="17" t="s">
        <v>38</v>
      </c>
      <c r="H44" s="17" t="s">
        <v>38</v>
      </c>
      <c r="I44" s="17" t="s">
        <v>38</v>
      </c>
      <c r="J44" s="4">
        <v>1.9124081451639656</v>
      </c>
      <c r="K44" s="9" t="s">
        <v>38</v>
      </c>
      <c r="L44" s="4">
        <v>3.875</v>
      </c>
      <c r="M44" s="4">
        <v>1.7775000000000001</v>
      </c>
      <c r="N44" s="4">
        <v>2.2425000000000002</v>
      </c>
      <c r="O44" s="9">
        <v>4.0649999999999995</v>
      </c>
      <c r="P44" s="4">
        <v>4.6049999999999995</v>
      </c>
      <c r="Q44" s="4" t="s">
        <v>38</v>
      </c>
      <c r="R44" s="4">
        <v>4.3150000000000004</v>
      </c>
      <c r="S44" s="9" t="s">
        <v>38</v>
      </c>
    </row>
    <row r="45" spans="1:19">
      <c r="A45" s="6">
        <v>36</v>
      </c>
      <c r="B45" s="5">
        <v>1926341.5419900001</v>
      </c>
      <c r="C45" s="5">
        <v>485337.74192</v>
      </c>
      <c r="D45" s="5">
        <v>298.11719099999999</v>
      </c>
      <c r="E45" s="17" t="s">
        <v>38</v>
      </c>
      <c r="F45" s="17" t="s">
        <v>38</v>
      </c>
      <c r="G45" s="17" t="s">
        <v>38</v>
      </c>
      <c r="H45" s="17" t="s">
        <v>38</v>
      </c>
      <c r="I45" s="17" t="s">
        <v>38</v>
      </c>
      <c r="J45" s="4">
        <v>1.9162209521270379</v>
      </c>
      <c r="K45" s="9" t="s">
        <v>38</v>
      </c>
      <c r="L45" s="4">
        <v>2.0525000000000002</v>
      </c>
      <c r="M45" s="4" t="s">
        <v>38</v>
      </c>
      <c r="N45" s="4" t="s">
        <v>38</v>
      </c>
      <c r="O45" s="9" t="s">
        <v>38</v>
      </c>
      <c r="P45" s="4" t="s">
        <v>38</v>
      </c>
      <c r="Q45" s="4" t="s">
        <v>38</v>
      </c>
      <c r="R45" s="4" t="s">
        <v>38</v>
      </c>
      <c r="S45" s="9" t="s">
        <v>38</v>
      </c>
    </row>
    <row r="46" spans="1:19">
      <c r="A46" s="6">
        <v>37</v>
      </c>
      <c r="B46" s="5">
        <v>1924985.66708</v>
      </c>
      <c r="C46" s="5">
        <v>485035.77795999998</v>
      </c>
      <c r="D46" s="5">
        <v>260.15734300000003</v>
      </c>
      <c r="E46" s="17" t="s">
        <v>38</v>
      </c>
      <c r="F46" s="17" t="s">
        <v>38</v>
      </c>
      <c r="G46" s="17" t="s">
        <v>38</v>
      </c>
      <c r="H46" s="17" t="s">
        <v>38</v>
      </c>
      <c r="I46" s="17" t="s">
        <v>38</v>
      </c>
      <c r="J46" s="4">
        <v>1.8125239018490726</v>
      </c>
      <c r="K46" s="9" t="s">
        <v>38</v>
      </c>
      <c r="L46" s="4">
        <v>1.6625000000000001</v>
      </c>
      <c r="M46" s="4">
        <v>8.11</v>
      </c>
      <c r="N46" s="4">
        <v>5.7849999999999993</v>
      </c>
      <c r="O46" s="9">
        <v>2.77</v>
      </c>
      <c r="P46" s="4">
        <v>6.0259999999999989</v>
      </c>
      <c r="Q46" s="4" t="s">
        <v>38</v>
      </c>
      <c r="R46" s="4">
        <v>3.56</v>
      </c>
      <c r="S46" s="9" t="s">
        <v>38</v>
      </c>
    </row>
    <row r="47" spans="1:19">
      <c r="A47" s="6">
        <v>38</v>
      </c>
      <c r="B47" s="5">
        <v>1925003.2949999999</v>
      </c>
      <c r="C47" s="5">
        <v>485064.33302000002</v>
      </c>
      <c r="D47" s="5">
        <v>261.53733199999999</v>
      </c>
      <c r="E47" s="18">
        <v>20.341625000000001</v>
      </c>
      <c r="F47" s="18">
        <v>26.628655999999999</v>
      </c>
      <c r="G47" s="18">
        <v>-0.34249800000000002</v>
      </c>
      <c r="H47" s="18">
        <v>82.110602999999998</v>
      </c>
      <c r="I47" s="18">
        <v>6.0412797899999999</v>
      </c>
      <c r="J47" s="4">
        <v>2.6101206463967657</v>
      </c>
      <c r="K47" s="9">
        <v>2.12</v>
      </c>
      <c r="L47" s="4">
        <v>1.6150000000000002</v>
      </c>
      <c r="M47" s="4">
        <v>2.56</v>
      </c>
      <c r="N47" s="4">
        <v>6.03</v>
      </c>
      <c r="O47" s="9">
        <v>3.1100000000000003</v>
      </c>
      <c r="P47" s="4">
        <v>6.3100000000000005</v>
      </c>
      <c r="Q47" s="4">
        <v>5.0975000000000001</v>
      </c>
      <c r="R47" s="4">
        <v>3.8124999999999996</v>
      </c>
      <c r="S47" s="9">
        <v>6.3250000000000002</v>
      </c>
    </row>
    <row r="48" spans="1:19">
      <c r="A48" s="6">
        <v>39</v>
      </c>
      <c r="B48" s="5">
        <v>1925146.0594800001</v>
      </c>
      <c r="C48" s="5">
        <v>485013.40727000003</v>
      </c>
      <c r="D48" s="5">
        <v>263.428425</v>
      </c>
      <c r="E48" s="17" t="s">
        <v>38</v>
      </c>
      <c r="F48" s="17" t="s">
        <v>38</v>
      </c>
      <c r="G48" s="17" t="s">
        <v>38</v>
      </c>
      <c r="H48" s="17" t="s">
        <v>38</v>
      </c>
      <c r="I48" s="17" t="s">
        <v>38</v>
      </c>
      <c r="J48" s="4">
        <v>1.4362644182903712</v>
      </c>
      <c r="K48" s="9">
        <v>2.1225000000000001</v>
      </c>
      <c r="L48" s="4">
        <v>2.9175</v>
      </c>
      <c r="M48" s="4">
        <v>7.4525000000000006</v>
      </c>
      <c r="N48" s="4">
        <v>5.375</v>
      </c>
      <c r="O48" s="9">
        <v>1.865</v>
      </c>
      <c r="P48" s="4">
        <v>3.2275</v>
      </c>
      <c r="Q48" s="4" t="s">
        <v>38</v>
      </c>
      <c r="R48" s="4">
        <v>3.4749999999999996</v>
      </c>
      <c r="S48" s="9" t="s">
        <v>38</v>
      </c>
    </row>
    <row r="49" spans="1:19">
      <c r="A49" s="6">
        <v>40</v>
      </c>
      <c r="B49" s="5">
        <v>1925129.9046499999</v>
      </c>
      <c r="C49" s="5">
        <v>485113.23745000002</v>
      </c>
      <c r="D49" s="5">
        <v>270.16271499999999</v>
      </c>
      <c r="E49" s="18">
        <v>20.536031999999999</v>
      </c>
      <c r="F49" s="18">
        <v>34.781241999999999</v>
      </c>
      <c r="G49" s="18">
        <v>0.12645200000000001</v>
      </c>
      <c r="H49" s="18">
        <v>29.617270000000001</v>
      </c>
      <c r="I49" s="18">
        <v>8.8848510000000006E-2</v>
      </c>
      <c r="J49" s="4">
        <v>2.6038257410209531</v>
      </c>
      <c r="K49" s="9" t="s">
        <v>38</v>
      </c>
      <c r="L49" s="4">
        <v>0.9425</v>
      </c>
      <c r="M49" s="4">
        <v>6.6475</v>
      </c>
      <c r="N49" s="4">
        <v>4.7649999999999997</v>
      </c>
      <c r="O49" s="9">
        <v>5.5924999999999994</v>
      </c>
      <c r="P49" s="4">
        <v>4.5120000000000005</v>
      </c>
      <c r="Q49" s="4">
        <v>4.1150000000000002</v>
      </c>
      <c r="R49" s="4">
        <v>2.8374999999999999</v>
      </c>
      <c r="S49" s="9">
        <v>5.04</v>
      </c>
    </row>
    <row r="50" spans="1:19">
      <c r="A50" s="6">
        <v>41</v>
      </c>
      <c r="B50" s="5">
        <v>1925257.86207</v>
      </c>
      <c r="C50" s="5">
        <v>485049.24578</v>
      </c>
      <c r="D50" s="5">
        <v>267.50976200000002</v>
      </c>
      <c r="E50" s="17" t="s">
        <v>38</v>
      </c>
      <c r="F50" s="17" t="s">
        <v>38</v>
      </c>
      <c r="G50" s="17" t="s">
        <v>38</v>
      </c>
      <c r="H50" s="17" t="s">
        <v>38</v>
      </c>
      <c r="I50" s="17" t="s">
        <v>38</v>
      </c>
      <c r="J50" s="4">
        <v>0.72572738447845986</v>
      </c>
      <c r="K50" s="9">
        <v>2.2875000000000001</v>
      </c>
      <c r="L50" s="4">
        <v>2.9625000000000004</v>
      </c>
      <c r="M50" s="4">
        <v>1.8675000000000002</v>
      </c>
      <c r="N50" s="4">
        <v>5.19</v>
      </c>
      <c r="O50" s="9">
        <v>6.0274999999999999</v>
      </c>
      <c r="P50" s="4">
        <v>2.58</v>
      </c>
      <c r="Q50" s="4" t="s">
        <v>38</v>
      </c>
      <c r="R50" s="4">
        <v>3.1825000000000001</v>
      </c>
      <c r="S50" s="9" t="s">
        <v>38</v>
      </c>
    </row>
    <row r="51" spans="1:19">
      <c r="A51" s="6">
        <v>42</v>
      </c>
      <c r="B51" s="5">
        <v>1925315.6510000001</v>
      </c>
      <c r="C51" s="5">
        <v>485152.86859999999</v>
      </c>
      <c r="D51" s="5">
        <v>276.60872999999998</v>
      </c>
      <c r="E51" s="17" t="s">
        <v>38</v>
      </c>
      <c r="F51" s="17" t="s">
        <v>38</v>
      </c>
      <c r="G51" s="17" t="s">
        <v>38</v>
      </c>
      <c r="H51" s="17" t="s">
        <v>38</v>
      </c>
      <c r="I51" s="17" t="s">
        <v>38</v>
      </c>
      <c r="J51" s="4">
        <v>0.72133197166512475</v>
      </c>
      <c r="K51" s="9">
        <v>1.88</v>
      </c>
      <c r="L51" s="4">
        <v>0.48250000000000004</v>
      </c>
      <c r="M51" s="4">
        <v>1.0925</v>
      </c>
      <c r="N51" s="4">
        <v>4.2225000000000001</v>
      </c>
      <c r="O51" s="9">
        <v>4.3175000000000008</v>
      </c>
      <c r="P51" s="4">
        <v>3.5740000000000003</v>
      </c>
      <c r="Q51" s="4" t="s">
        <v>38</v>
      </c>
      <c r="R51" s="4">
        <v>2.3050000000000002</v>
      </c>
      <c r="S51" s="9" t="s">
        <v>38</v>
      </c>
    </row>
    <row r="52" spans="1:19">
      <c r="A52" s="6">
        <v>43</v>
      </c>
      <c r="B52" s="5">
        <v>1925254.18459</v>
      </c>
      <c r="C52" s="5">
        <v>485187.81932000001</v>
      </c>
      <c r="D52" s="5">
        <v>277.85211600000002</v>
      </c>
      <c r="E52" s="17" t="s">
        <v>38</v>
      </c>
      <c r="F52" s="17" t="s">
        <v>38</v>
      </c>
      <c r="G52" s="17" t="s">
        <v>38</v>
      </c>
      <c r="H52" s="17" t="s">
        <v>38</v>
      </c>
      <c r="I52" s="17" t="s">
        <v>38</v>
      </c>
      <c r="J52" s="4">
        <v>0.66725756723420671</v>
      </c>
      <c r="K52" s="9">
        <v>1.1025</v>
      </c>
      <c r="L52" s="4">
        <v>0.50750000000000006</v>
      </c>
      <c r="M52" s="4">
        <v>6.7299999999999995</v>
      </c>
      <c r="N52" s="4">
        <v>4.3274999999999997</v>
      </c>
      <c r="O52" s="9">
        <v>3.67</v>
      </c>
      <c r="P52" s="4">
        <v>3.3280000000000003</v>
      </c>
      <c r="Q52" s="4" t="s">
        <v>38</v>
      </c>
      <c r="R52" s="4">
        <v>1.87</v>
      </c>
      <c r="S52" s="9" t="s">
        <v>38</v>
      </c>
    </row>
    <row r="53" spans="1:19">
      <c r="A53" s="6">
        <v>44</v>
      </c>
      <c r="B53" s="5">
        <v>1925243.6409700001</v>
      </c>
      <c r="C53" s="5">
        <v>485242.32118000003</v>
      </c>
      <c r="D53" s="5">
        <v>279.14434299999999</v>
      </c>
      <c r="E53" s="18">
        <v>16.229541999999999</v>
      </c>
      <c r="F53" s="18">
        <v>19.136641000000001</v>
      </c>
      <c r="G53" s="18">
        <v>0.17124900000000001</v>
      </c>
      <c r="H53" s="18">
        <v>37.979145000000003</v>
      </c>
      <c r="I53" s="18">
        <v>1.97154915</v>
      </c>
      <c r="J53" s="4">
        <v>2.3805532200337471</v>
      </c>
      <c r="K53" s="9">
        <v>1.1724999999999999</v>
      </c>
      <c r="L53" s="4">
        <v>0.42249999999999999</v>
      </c>
      <c r="M53" s="4">
        <v>6.2525000000000004</v>
      </c>
      <c r="N53" s="4">
        <v>3.9775</v>
      </c>
      <c r="O53" s="9">
        <v>3.3325</v>
      </c>
      <c r="P53" s="4">
        <v>3.59</v>
      </c>
      <c r="Q53" s="4">
        <v>4.13</v>
      </c>
      <c r="R53" s="4">
        <v>2.4424999999999999</v>
      </c>
      <c r="S53" s="9">
        <v>1.27</v>
      </c>
    </row>
    <row r="54" spans="1:19">
      <c r="A54" s="6">
        <v>45</v>
      </c>
      <c r="B54" s="5">
        <v>1925395.3536</v>
      </c>
      <c r="C54" s="5">
        <v>485092.40743999998</v>
      </c>
      <c r="D54" s="5">
        <v>271.10157299999997</v>
      </c>
      <c r="E54" s="18">
        <v>21.073350999999999</v>
      </c>
      <c r="F54" s="18">
        <v>270.714539</v>
      </c>
      <c r="G54" s="18">
        <v>-1.5934079999999999</v>
      </c>
      <c r="H54" s="18">
        <v>99.304321000000002</v>
      </c>
      <c r="I54" s="18">
        <v>3.7026712900000001</v>
      </c>
      <c r="J54" s="4">
        <v>2.3524284344266619</v>
      </c>
      <c r="K54" s="9">
        <v>1.0625</v>
      </c>
      <c r="L54" s="4">
        <v>2.39</v>
      </c>
      <c r="M54" s="4">
        <v>1.3174999999999999</v>
      </c>
      <c r="N54" s="4">
        <v>5.1974999999999998</v>
      </c>
      <c r="O54" s="9">
        <v>3.0049999999999999</v>
      </c>
      <c r="P54" s="4">
        <v>3.9339999999999997</v>
      </c>
      <c r="Q54" s="4">
        <v>4.4375</v>
      </c>
      <c r="R54" s="4">
        <v>2.59</v>
      </c>
      <c r="S54" s="9">
        <v>4.835</v>
      </c>
    </row>
    <row r="55" spans="1:19">
      <c r="A55" s="6">
        <v>46</v>
      </c>
      <c r="B55" s="5">
        <v>1925408.2623600001</v>
      </c>
      <c r="C55" s="5">
        <v>485086.56459999998</v>
      </c>
      <c r="D55" s="5">
        <v>271.39160500000003</v>
      </c>
      <c r="E55" s="18">
        <v>22.804365000000001</v>
      </c>
      <c r="F55" s="18">
        <v>80.716025999999999</v>
      </c>
      <c r="G55" s="18">
        <v>-1.362619</v>
      </c>
      <c r="H55" s="18">
        <v>85.928023999999994</v>
      </c>
      <c r="I55" s="18">
        <v>2.7476079499999999</v>
      </c>
      <c r="J55" s="4">
        <v>2.3524284344266619</v>
      </c>
      <c r="K55" s="9">
        <v>1.2949999999999999</v>
      </c>
      <c r="L55" s="4">
        <v>2.2150000000000003</v>
      </c>
      <c r="M55" s="4">
        <v>1.3025</v>
      </c>
      <c r="N55" s="4">
        <v>5.4850000000000003</v>
      </c>
      <c r="O55" s="9">
        <v>3.0549999999999997</v>
      </c>
      <c r="P55" s="4">
        <v>4.2060000000000004</v>
      </c>
      <c r="Q55" s="4">
        <v>4.5724999999999998</v>
      </c>
      <c r="R55" s="4">
        <v>2.8125</v>
      </c>
      <c r="S55" s="9">
        <v>2.2349999999999999</v>
      </c>
    </row>
    <row r="56" spans="1:19">
      <c r="A56" s="6">
        <v>47</v>
      </c>
      <c r="B56" s="5">
        <v>1925435.69407</v>
      </c>
      <c r="C56" s="5">
        <v>485032.36556000001</v>
      </c>
      <c r="D56" s="5">
        <v>269.92851999999999</v>
      </c>
      <c r="E56" s="18">
        <v>27.267268999999999</v>
      </c>
      <c r="F56" s="18">
        <v>23.245716000000002</v>
      </c>
      <c r="G56" s="18">
        <v>0.64643600000000001</v>
      </c>
      <c r="H56" s="18">
        <v>85.209250999999995</v>
      </c>
      <c r="I56" s="18">
        <v>1.8677202500000001</v>
      </c>
      <c r="J56" s="4">
        <v>0.46055689163616059</v>
      </c>
      <c r="K56" s="9">
        <v>1.3574999999999999</v>
      </c>
      <c r="L56" s="4">
        <v>2.7225000000000001</v>
      </c>
      <c r="M56" s="4">
        <v>1.8000000000000003</v>
      </c>
      <c r="N56" s="4">
        <v>5.2850000000000001</v>
      </c>
      <c r="O56" s="9">
        <v>1.35</v>
      </c>
      <c r="P56" s="4">
        <v>2.27</v>
      </c>
      <c r="Q56" s="4">
        <v>5.0749999999999993</v>
      </c>
      <c r="R56" s="4">
        <v>2.78</v>
      </c>
      <c r="S56" s="9">
        <v>2.0625</v>
      </c>
    </row>
    <row r="57" spans="1:19">
      <c r="A57" s="6">
        <v>48</v>
      </c>
      <c r="B57" s="5">
        <v>1925417.1865600001</v>
      </c>
      <c r="C57" s="5">
        <v>485158.61629999999</v>
      </c>
      <c r="D57" s="5">
        <v>277.95832999999999</v>
      </c>
      <c r="E57" s="17" t="s">
        <v>38</v>
      </c>
      <c r="F57" s="17" t="s">
        <v>38</v>
      </c>
      <c r="G57" s="17" t="s">
        <v>38</v>
      </c>
      <c r="H57" s="17" t="s">
        <v>38</v>
      </c>
      <c r="I57" s="17" t="s">
        <v>38</v>
      </c>
      <c r="J57" s="4">
        <v>0.810213257456876</v>
      </c>
      <c r="K57" s="9">
        <v>1.1550000000000002</v>
      </c>
      <c r="L57" s="4">
        <v>0.79</v>
      </c>
      <c r="M57" s="4">
        <v>1.1274999999999999</v>
      </c>
      <c r="N57" s="4">
        <v>4.5075000000000003</v>
      </c>
      <c r="O57" s="9">
        <v>3.4225000000000003</v>
      </c>
      <c r="P57" s="4">
        <v>3.3659999999999997</v>
      </c>
      <c r="Q57" s="4" t="s">
        <v>38</v>
      </c>
      <c r="R57" s="4">
        <v>1.4975000000000001</v>
      </c>
      <c r="S57" s="9" t="s">
        <v>38</v>
      </c>
    </row>
    <row r="58" spans="1:19">
      <c r="A58" s="6">
        <v>49</v>
      </c>
      <c r="B58" s="5">
        <v>1925406.04321</v>
      </c>
      <c r="C58" s="5">
        <v>485318.93716999999</v>
      </c>
      <c r="D58" s="5">
        <v>288.44021700000002</v>
      </c>
      <c r="E58" s="17" t="s">
        <v>38</v>
      </c>
      <c r="F58" s="17" t="s">
        <v>38</v>
      </c>
      <c r="G58" s="17" t="s">
        <v>38</v>
      </c>
      <c r="H58" s="17" t="s">
        <v>38</v>
      </c>
      <c r="I58" s="17" t="s">
        <v>38</v>
      </c>
      <c r="J58" s="4">
        <v>0.9286200245073305</v>
      </c>
      <c r="K58" s="9">
        <v>0.97250000000000003</v>
      </c>
      <c r="L58" s="4">
        <v>0.21500000000000002</v>
      </c>
      <c r="M58" s="4">
        <v>5.7349999999999994</v>
      </c>
      <c r="N58" s="4">
        <v>3.4275000000000002</v>
      </c>
      <c r="O58" s="9">
        <v>3.0874999999999999</v>
      </c>
      <c r="P58" s="4">
        <v>3.4619999999999997</v>
      </c>
      <c r="Q58" s="4" t="s">
        <v>38</v>
      </c>
      <c r="R58" s="4">
        <v>1.8425</v>
      </c>
      <c r="S58" s="9">
        <v>1.0425</v>
      </c>
    </row>
    <row r="59" spans="1:19">
      <c r="A59" s="6">
        <v>50</v>
      </c>
      <c r="B59" s="5">
        <v>1925580.02547</v>
      </c>
      <c r="C59" s="5">
        <v>485098.52159999998</v>
      </c>
      <c r="D59" s="5">
        <v>272.98448200000001</v>
      </c>
      <c r="E59" s="17">
        <v>20.064858999999998</v>
      </c>
      <c r="F59" s="17">
        <v>195.60734600000001</v>
      </c>
      <c r="G59" s="17">
        <v>-0.90954599999999997</v>
      </c>
      <c r="H59" s="17">
        <v>210.26357999999999</v>
      </c>
      <c r="I59" s="17">
        <v>5.6437816600000001</v>
      </c>
      <c r="J59" s="4">
        <v>0.87816402885448464</v>
      </c>
      <c r="K59" s="9" t="s">
        <v>38</v>
      </c>
      <c r="L59" s="4">
        <v>1.94</v>
      </c>
      <c r="M59" s="4">
        <v>1.2774999999999999</v>
      </c>
      <c r="N59" s="4">
        <v>3.58</v>
      </c>
      <c r="O59" s="9">
        <v>2.3224999999999998</v>
      </c>
      <c r="P59" s="4">
        <v>0.96499999999999997</v>
      </c>
      <c r="Q59" s="4" t="s">
        <v>38</v>
      </c>
      <c r="R59" s="4">
        <v>2.63</v>
      </c>
      <c r="S59" s="9">
        <v>1.7324999999999999</v>
      </c>
    </row>
    <row r="60" spans="1:19">
      <c r="A60" s="6">
        <v>51</v>
      </c>
      <c r="B60" s="5">
        <v>1925572.32601</v>
      </c>
      <c r="C60" s="5">
        <v>485129.83091999998</v>
      </c>
      <c r="D60" s="5">
        <v>274.50111299999998</v>
      </c>
      <c r="E60" s="18">
        <v>16.616876999999999</v>
      </c>
      <c r="F60" s="18">
        <v>261.50030500000003</v>
      </c>
      <c r="G60" s="18">
        <v>-1.218021</v>
      </c>
      <c r="H60" s="18">
        <v>107.854721</v>
      </c>
      <c r="I60" s="18">
        <v>3.66199136</v>
      </c>
      <c r="J60" s="4">
        <v>0.96042893448728772</v>
      </c>
      <c r="K60" s="9" t="s">
        <v>38</v>
      </c>
      <c r="L60" s="4" t="s">
        <v>38</v>
      </c>
      <c r="M60" s="4" t="s">
        <v>38</v>
      </c>
      <c r="N60" s="4" t="s">
        <v>38</v>
      </c>
      <c r="O60" s="9" t="s">
        <v>38</v>
      </c>
      <c r="P60" s="4" t="s">
        <v>38</v>
      </c>
      <c r="Q60" s="4" t="s">
        <v>38</v>
      </c>
      <c r="R60" s="4" t="s">
        <v>38</v>
      </c>
      <c r="S60" s="9" t="s">
        <v>38</v>
      </c>
    </row>
    <row r="61" spans="1:19">
      <c r="A61" s="6" t="s">
        <v>14</v>
      </c>
      <c r="B61" s="5">
        <v>1925576.07174</v>
      </c>
      <c r="C61" s="5">
        <v>485132.8798</v>
      </c>
      <c r="D61" s="5">
        <v>274.64269999999999</v>
      </c>
      <c r="E61" s="18">
        <v>14.994785</v>
      </c>
      <c r="F61" s="18">
        <v>1098.9636230000001</v>
      </c>
      <c r="G61" s="18">
        <v>-1.483967</v>
      </c>
      <c r="H61" s="18">
        <v>104.347511</v>
      </c>
      <c r="I61" s="18">
        <v>3.9469757099999998</v>
      </c>
      <c r="J61" s="4">
        <v>0.59999296678854896</v>
      </c>
      <c r="K61" s="9">
        <v>0.4975</v>
      </c>
      <c r="L61" s="4">
        <v>2.2000000000000002</v>
      </c>
      <c r="M61" s="4">
        <v>1.3125</v>
      </c>
      <c r="N61" s="4">
        <v>1.44</v>
      </c>
      <c r="O61" s="9">
        <v>4.9474999999999998</v>
      </c>
      <c r="P61" s="4">
        <v>4.2275</v>
      </c>
      <c r="Q61" s="4">
        <v>4.6749999999999998</v>
      </c>
      <c r="R61" s="4">
        <v>2.8624999999999998</v>
      </c>
      <c r="S61" s="9">
        <v>1.7774999999999999</v>
      </c>
    </row>
    <row r="62" spans="1:19">
      <c r="A62" s="6" t="s">
        <v>15</v>
      </c>
      <c r="B62" s="5">
        <v>1925574.9257499999</v>
      </c>
      <c r="C62" s="5">
        <v>485126.83814000001</v>
      </c>
      <c r="D62" s="5">
        <v>274.35259300000001</v>
      </c>
      <c r="E62" s="18">
        <v>15.772271999999999</v>
      </c>
      <c r="F62" s="18">
        <v>558.62780799999996</v>
      </c>
      <c r="G62" s="18">
        <v>-0.97305600000000003</v>
      </c>
      <c r="H62" s="18">
        <v>111.871223</v>
      </c>
      <c r="I62" s="18">
        <v>4.1842389100000004</v>
      </c>
      <c r="J62" s="4">
        <v>0.59950056139565422</v>
      </c>
      <c r="K62" s="9">
        <v>0.1225</v>
      </c>
      <c r="L62" s="4">
        <v>2.4499999999999997</v>
      </c>
      <c r="M62" s="4">
        <v>1.1099999999999999</v>
      </c>
      <c r="N62" s="4">
        <v>1.7175</v>
      </c>
      <c r="O62" s="9">
        <v>3.9474999999999998</v>
      </c>
      <c r="P62" s="4">
        <v>4.6475</v>
      </c>
      <c r="Q62" s="4">
        <v>4.8600000000000003</v>
      </c>
      <c r="R62" s="4">
        <v>2.6199999999999997</v>
      </c>
      <c r="S62" s="9">
        <v>2.0674999999999999</v>
      </c>
    </row>
    <row r="63" spans="1:19">
      <c r="A63" s="6" t="s">
        <v>16</v>
      </c>
      <c r="B63" s="5">
        <v>1925568.5238600001</v>
      </c>
      <c r="C63" s="5">
        <v>485127.09995</v>
      </c>
      <c r="D63" s="5">
        <v>274.51531499999999</v>
      </c>
      <c r="E63" s="18">
        <v>19.378844999999998</v>
      </c>
      <c r="F63" s="18">
        <v>29.308720000000001</v>
      </c>
      <c r="G63" s="18">
        <v>-0.88346199999999997</v>
      </c>
      <c r="H63" s="18">
        <v>108.999443</v>
      </c>
      <c r="I63" s="18">
        <v>3.1682913300000002</v>
      </c>
      <c r="J63" s="4">
        <v>0.74510802391774866</v>
      </c>
      <c r="K63" s="9">
        <v>0.36749999999999999</v>
      </c>
      <c r="L63" s="4">
        <v>2.5125000000000002</v>
      </c>
      <c r="M63" s="4">
        <v>1.625</v>
      </c>
      <c r="N63" s="4">
        <v>1.7574999999999998</v>
      </c>
      <c r="O63" s="9">
        <v>3.4</v>
      </c>
      <c r="P63" s="4">
        <v>4.5225</v>
      </c>
      <c r="Q63" s="4">
        <v>4.4750000000000005</v>
      </c>
      <c r="R63" s="4">
        <v>2.5449999999999999</v>
      </c>
      <c r="S63" s="9">
        <v>1.5825</v>
      </c>
    </row>
    <row r="64" spans="1:19">
      <c r="A64" s="6" t="s">
        <v>17</v>
      </c>
      <c r="B64" s="5">
        <v>1925569.6764100001</v>
      </c>
      <c r="C64" s="5">
        <v>485133.45426999999</v>
      </c>
      <c r="D64" s="5">
        <v>274.66833300000002</v>
      </c>
      <c r="E64" s="18">
        <v>18.213570000000001</v>
      </c>
      <c r="F64" s="18">
        <v>88.198639</v>
      </c>
      <c r="G64" s="18">
        <v>-1.3818980000000001</v>
      </c>
      <c r="H64" s="18">
        <v>105.85189099999999</v>
      </c>
      <c r="I64" s="18">
        <v>3.13546681</v>
      </c>
      <c r="J64" s="4">
        <v>0.72836437950151556</v>
      </c>
      <c r="K64" s="9">
        <v>0.155</v>
      </c>
      <c r="L64" s="4">
        <v>2.4249999999999998</v>
      </c>
      <c r="M64" s="4">
        <v>0.96250000000000013</v>
      </c>
      <c r="N64" s="4">
        <v>1.52</v>
      </c>
      <c r="O64" s="9">
        <v>3.2049999999999996</v>
      </c>
      <c r="P64" s="4">
        <v>4.3674999999999997</v>
      </c>
      <c r="Q64" s="4">
        <v>4.2850000000000001</v>
      </c>
      <c r="R64" s="4">
        <v>2.0219999999999998</v>
      </c>
      <c r="S64" s="9">
        <v>1.585</v>
      </c>
    </row>
    <row r="65" spans="1:19">
      <c r="A65" s="6">
        <v>52</v>
      </c>
      <c r="B65" s="5">
        <v>1925571.8640699999</v>
      </c>
      <c r="C65" s="5">
        <v>485202.84029000002</v>
      </c>
      <c r="D65" s="5">
        <v>278.420771</v>
      </c>
      <c r="E65" s="18">
        <v>24.036328999999999</v>
      </c>
      <c r="F65" s="18">
        <v>669.79754600000001</v>
      </c>
      <c r="G65" s="18">
        <v>-2.1094219999999999</v>
      </c>
      <c r="H65" s="18">
        <v>123.499741</v>
      </c>
      <c r="I65" s="18">
        <v>3.7135314899999998</v>
      </c>
      <c r="J65" s="4">
        <v>0.56707727538863939</v>
      </c>
      <c r="K65" s="9">
        <v>0.34499999999999997</v>
      </c>
      <c r="L65" s="4">
        <v>2.3149999999999999</v>
      </c>
      <c r="M65" s="4">
        <v>1.2650000000000001</v>
      </c>
      <c r="N65" s="4">
        <v>5.3</v>
      </c>
      <c r="O65" s="9">
        <v>4.0625</v>
      </c>
      <c r="P65" s="4">
        <v>4.47</v>
      </c>
      <c r="Q65" s="4">
        <v>4.4075000000000006</v>
      </c>
      <c r="R65" s="4">
        <v>1.825</v>
      </c>
      <c r="S65" s="9">
        <v>1.9025000000000001</v>
      </c>
    </row>
    <row r="66" spans="1:19">
      <c r="A66" s="6">
        <v>53</v>
      </c>
      <c r="B66" s="5">
        <v>1925577.5382699999</v>
      </c>
      <c r="C66" s="5">
        <v>485324.1911</v>
      </c>
      <c r="D66" s="5">
        <v>290.91191800000001</v>
      </c>
      <c r="E66" s="18">
        <v>35.342140000000001</v>
      </c>
      <c r="F66" s="18">
        <v>51.695709000000001</v>
      </c>
      <c r="G66" s="18">
        <v>-0.65550900000000001</v>
      </c>
      <c r="H66" s="18">
        <v>108.47496</v>
      </c>
      <c r="I66" s="18">
        <v>3.1271791499999999</v>
      </c>
      <c r="J66" s="4">
        <v>1.2297095377919591</v>
      </c>
      <c r="K66" s="9" t="s">
        <v>38</v>
      </c>
      <c r="L66" s="4" t="s">
        <v>38</v>
      </c>
      <c r="M66" s="4" t="s">
        <v>38</v>
      </c>
      <c r="N66" s="4" t="s">
        <v>38</v>
      </c>
      <c r="O66" s="9" t="s">
        <v>38</v>
      </c>
      <c r="P66" s="4" t="s">
        <v>38</v>
      </c>
      <c r="Q66" s="4" t="s">
        <v>38</v>
      </c>
      <c r="R66" s="4" t="s">
        <v>38</v>
      </c>
      <c r="S66" s="9" t="s">
        <v>38</v>
      </c>
    </row>
    <row r="67" spans="1:19">
      <c r="A67" s="6" t="s">
        <v>18</v>
      </c>
      <c r="B67" s="5">
        <v>1925581.1704800001</v>
      </c>
      <c r="C67" s="5">
        <v>485326.28983999998</v>
      </c>
      <c r="D67" s="5">
        <v>291.18433199999998</v>
      </c>
      <c r="E67" s="18">
        <v>35.471316999999999</v>
      </c>
      <c r="F67" s="18">
        <v>47.901114999999997</v>
      </c>
      <c r="G67" s="18">
        <v>-0.546068</v>
      </c>
      <c r="H67" s="18">
        <v>108.028969</v>
      </c>
      <c r="I67" s="18">
        <v>3.03537941</v>
      </c>
      <c r="J67" s="4">
        <v>0.767373785449047</v>
      </c>
      <c r="K67" s="9">
        <v>0.14750000000000002</v>
      </c>
      <c r="L67" s="4">
        <v>0.48250000000000004</v>
      </c>
      <c r="M67" s="4">
        <v>6.4850000000000003</v>
      </c>
      <c r="N67" s="4">
        <v>4.7424999999999997</v>
      </c>
      <c r="O67" s="9">
        <v>2.78</v>
      </c>
      <c r="P67" s="4">
        <v>3.605</v>
      </c>
      <c r="Q67" s="4">
        <v>4.1899999999999995</v>
      </c>
      <c r="R67" s="4">
        <v>1.8125</v>
      </c>
      <c r="S67" s="9">
        <v>1.4724999999999999</v>
      </c>
    </row>
    <row r="68" spans="1:19">
      <c r="A68" s="6" t="s">
        <v>19</v>
      </c>
      <c r="B68" s="5">
        <v>1925580.3939100001</v>
      </c>
      <c r="C68" s="5">
        <v>485320.69634999998</v>
      </c>
      <c r="D68" s="5">
        <v>290.57751300000001</v>
      </c>
      <c r="E68" s="18">
        <v>36.094012999999997</v>
      </c>
      <c r="F68" s="18">
        <v>54.467407000000001</v>
      </c>
      <c r="G68" s="18">
        <v>-0.91861899999999996</v>
      </c>
      <c r="H68" s="18">
        <v>114.745193</v>
      </c>
      <c r="I68" s="18">
        <v>3.18781209</v>
      </c>
      <c r="J68" s="4">
        <v>0.75419658461602679</v>
      </c>
      <c r="K68" s="9">
        <v>0.1575</v>
      </c>
      <c r="L68" s="4">
        <v>0.85499999999999998</v>
      </c>
      <c r="M68" s="4">
        <v>6.9124999999999996</v>
      </c>
      <c r="N68" s="4">
        <v>4.5274999999999999</v>
      </c>
      <c r="O68" s="9">
        <v>3.0649999999999999</v>
      </c>
      <c r="P68" s="4">
        <v>4.1524999999999999</v>
      </c>
      <c r="Q68" s="4">
        <v>4.4824999999999999</v>
      </c>
      <c r="R68" s="4">
        <v>2.0749999999999997</v>
      </c>
      <c r="S68" s="9">
        <v>1.6024999999999998</v>
      </c>
    </row>
    <row r="69" spans="1:19">
      <c r="A69" s="6" t="s">
        <v>20</v>
      </c>
      <c r="B69" s="5">
        <v>1925573.8030399999</v>
      </c>
      <c r="C69" s="5">
        <v>485320.64091000002</v>
      </c>
      <c r="D69" s="5">
        <v>290.41713900000002</v>
      </c>
      <c r="E69" s="18">
        <v>35.029193999999997</v>
      </c>
      <c r="F69" s="18">
        <v>55.642409999999998</v>
      </c>
      <c r="G69" s="18">
        <v>-0.79557</v>
      </c>
      <c r="H69" s="18">
        <v>109.94664</v>
      </c>
      <c r="I69" s="18">
        <v>3.1984403100000001</v>
      </c>
      <c r="J69" s="4">
        <v>0.754632489639397</v>
      </c>
      <c r="K69" s="9">
        <v>0.28999999999999998</v>
      </c>
      <c r="L69" s="4">
        <v>1.0750000000000002</v>
      </c>
      <c r="M69" s="4">
        <v>7.0200000000000005</v>
      </c>
      <c r="N69" s="4">
        <v>5.0749999999999993</v>
      </c>
      <c r="O69" s="9">
        <v>3.4525000000000001</v>
      </c>
      <c r="P69" s="4">
        <v>4.1875</v>
      </c>
      <c r="Q69" s="4">
        <v>4.8100000000000005</v>
      </c>
      <c r="R69" s="4">
        <v>2.3375000000000004</v>
      </c>
      <c r="S69" s="9">
        <v>1.7349999999999999</v>
      </c>
    </row>
    <row r="70" spans="1:19">
      <c r="A70" s="6" t="s">
        <v>21</v>
      </c>
      <c r="B70" s="5">
        <v>1925574.4382100001</v>
      </c>
      <c r="C70" s="5">
        <v>485326.76621999999</v>
      </c>
      <c r="D70" s="5">
        <v>291.083461</v>
      </c>
      <c r="E70" s="18">
        <v>34.535446</v>
      </c>
      <c r="F70" s="18">
        <v>48.413634999999999</v>
      </c>
      <c r="G70" s="18">
        <v>-0.56874999999999998</v>
      </c>
      <c r="H70" s="18">
        <v>102.43124400000001</v>
      </c>
      <c r="I70" s="18">
        <v>2.9675536199999999</v>
      </c>
      <c r="J70" s="4">
        <v>0.79110415200373196</v>
      </c>
      <c r="K70" s="9">
        <v>0.29499999999999998</v>
      </c>
      <c r="L70" s="4">
        <v>0.48749999999999999</v>
      </c>
      <c r="M70" s="4">
        <v>6.52</v>
      </c>
      <c r="N70" s="4">
        <v>4.7275</v>
      </c>
      <c r="O70" s="9">
        <v>3.3049999999999997</v>
      </c>
      <c r="P70" s="4">
        <v>4.1400000000000006</v>
      </c>
      <c r="Q70" s="4">
        <v>4.84</v>
      </c>
      <c r="R70" s="4">
        <v>2.665</v>
      </c>
      <c r="S70" s="9">
        <v>1.5475000000000001</v>
      </c>
    </row>
    <row r="71" spans="1:19">
      <c r="A71" s="6">
        <v>54</v>
      </c>
      <c r="B71" s="5">
        <v>1925567.6839600001</v>
      </c>
      <c r="C71" s="5">
        <v>485403.25851999997</v>
      </c>
      <c r="D71" s="5">
        <v>296.50715000000002</v>
      </c>
      <c r="E71" s="18">
        <v>15.442739</v>
      </c>
      <c r="F71" s="18">
        <v>6.2740520000000002</v>
      </c>
      <c r="G71" s="18">
        <v>0.17408399999999999</v>
      </c>
      <c r="H71" s="18">
        <v>42.560153999999997</v>
      </c>
      <c r="I71" s="18">
        <v>1.39018869</v>
      </c>
      <c r="J71" s="4">
        <v>1.2225157118965237</v>
      </c>
      <c r="K71" s="9">
        <v>9.2499999999999999E-2</v>
      </c>
      <c r="L71" s="4">
        <v>0.62499999999999989</v>
      </c>
      <c r="M71" s="4">
        <v>5.9674999999999994</v>
      </c>
      <c r="N71" s="4">
        <v>3.6500000000000004</v>
      </c>
      <c r="O71" s="9" t="s">
        <v>38</v>
      </c>
      <c r="P71" s="4">
        <v>3.0260000000000007</v>
      </c>
      <c r="Q71" s="4" t="s">
        <v>38</v>
      </c>
      <c r="R71" s="4">
        <v>1.1174999999999999</v>
      </c>
      <c r="S71" s="9">
        <v>1.06</v>
      </c>
    </row>
    <row r="72" spans="1:19">
      <c r="A72" s="6">
        <v>55</v>
      </c>
      <c r="B72" s="5">
        <v>1925593.42472</v>
      </c>
      <c r="C72" s="5">
        <v>485139.72034</v>
      </c>
      <c r="D72" s="5">
        <v>275.52876300000003</v>
      </c>
      <c r="E72" s="18">
        <v>26.353612999999999</v>
      </c>
      <c r="F72" s="18">
        <v>34.232460000000003</v>
      </c>
      <c r="G72" s="18">
        <v>-0.88516300000000003</v>
      </c>
      <c r="H72" s="18">
        <v>81.812408000000005</v>
      </c>
      <c r="I72" s="18">
        <v>2.8893075000000001</v>
      </c>
      <c r="J72" s="4">
        <v>1.2549739417350994</v>
      </c>
      <c r="K72" s="9">
        <v>8.2500000000000018E-2</v>
      </c>
      <c r="L72" s="4" t="s">
        <v>38</v>
      </c>
      <c r="M72" s="4" t="s">
        <v>38</v>
      </c>
      <c r="N72" s="4" t="s">
        <v>38</v>
      </c>
      <c r="O72" s="9" t="s">
        <v>38</v>
      </c>
      <c r="P72" s="4" t="s">
        <v>38</v>
      </c>
      <c r="Q72" s="4" t="s">
        <v>38</v>
      </c>
      <c r="R72" s="4" t="s">
        <v>38</v>
      </c>
      <c r="S72" s="9" t="s">
        <v>38</v>
      </c>
    </row>
    <row r="73" spans="1:19">
      <c r="A73" s="6" t="s">
        <v>22</v>
      </c>
      <c r="B73" s="5">
        <v>1925596.8200600001</v>
      </c>
      <c r="C73" s="5">
        <v>485143.35878000001</v>
      </c>
      <c r="D73" s="5">
        <v>276.01785799999999</v>
      </c>
      <c r="E73" s="18">
        <v>29.759687</v>
      </c>
      <c r="F73" s="18">
        <v>30.423262000000001</v>
      </c>
      <c r="G73" s="18">
        <v>-0.78989900000000002</v>
      </c>
      <c r="H73" s="18">
        <v>74.321258999999998</v>
      </c>
      <c r="I73" s="18">
        <v>2.6405856600000002</v>
      </c>
      <c r="J73" s="4">
        <v>0.65320100034462292</v>
      </c>
      <c r="K73" s="9">
        <v>0.20500000000000002</v>
      </c>
      <c r="L73" s="4">
        <v>2.2524999999999999</v>
      </c>
      <c r="M73" s="4">
        <v>1.1325000000000001</v>
      </c>
      <c r="N73" s="4">
        <v>1.61</v>
      </c>
      <c r="O73" s="9">
        <v>3.3274999999999997</v>
      </c>
      <c r="P73" s="4">
        <v>3.8299999999999996</v>
      </c>
      <c r="Q73" s="4">
        <v>4.5199999999999996</v>
      </c>
      <c r="R73" s="4">
        <v>2.4074999999999998</v>
      </c>
      <c r="S73" s="9">
        <v>1.5350000000000001</v>
      </c>
    </row>
    <row r="74" spans="1:19">
      <c r="A74" s="6" t="s">
        <v>23</v>
      </c>
      <c r="B74" s="5">
        <v>1925596.57531</v>
      </c>
      <c r="C74" s="5">
        <v>485136.49200000003</v>
      </c>
      <c r="D74" s="5">
        <v>275.46876099999997</v>
      </c>
      <c r="E74" s="18">
        <v>27.586089999999999</v>
      </c>
      <c r="F74" s="18">
        <v>33.724772999999999</v>
      </c>
      <c r="G74" s="18">
        <v>-0.84320200000000001</v>
      </c>
      <c r="H74" s="18">
        <v>75.810317999999995</v>
      </c>
      <c r="I74" s="18">
        <v>2.7611520299999999</v>
      </c>
      <c r="J74" s="4">
        <v>0.66771426719147142</v>
      </c>
      <c r="K74" s="9">
        <v>0.85250000000000004</v>
      </c>
      <c r="L74" s="4">
        <v>2.44</v>
      </c>
      <c r="M74" s="4">
        <v>0.95750000000000002</v>
      </c>
      <c r="N74" s="4">
        <v>1.4224999999999999</v>
      </c>
      <c r="O74" s="9">
        <v>4.03</v>
      </c>
      <c r="P74" s="4">
        <v>4.6100000000000003</v>
      </c>
      <c r="Q74" s="4">
        <v>4.4574999999999996</v>
      </c>
      <c r="R74" s="4">
        <v>2.3375000000000004</v>
      </c>
      <c r="S74" s="9">
        <v>1.7725</v>
      </c>
    </row>
    <row r="75" spans="1:19">
      <c r="A75" s="6" t="s">
        <v>24</v>
      </c>
      <c r="B75" s="5">
        <v>1925590.3249900001</v>
      </c>
      <c r="C75" s="5">
        <v>485136.47000999999</v>
      </c>
      <c r="D75" s="5">
        <v>275.13496199999997</v>
      </c>
      <c r="E75" s="18">
        <v>23.081067999999998</v>
      </c>
      <c r="F75" s="18">
        <v>49.462142999999998</v>
      </c>
      <c r="G75" s="18">
        <v>-0.85000600000000004</v>
      </c>
      <c r="H75" s="18">
        <v>88.107956000000001</v>
      </c>
      <c r="I75" s="18">
        <v>2.9997580099999999</v>
      </c>
      <c r="J75" s="4">
        <v>0.63669162650125966</v>
      </c>
      <c r="K75" s="9">
        <v>0.90749999999999997</v>
      </c>
      <c r="L75" s="4">
        <v>2.1799999999999997</v>
      </c>
      <c r="M75" s="4">
        <v>1.2250000000000001</v>
      </c>
      <c r="N75" s="4">
        <v>1.5775000000000001</v>
      </c>
      <c r="O75" s="9">
        <v>3.91</v>
      </c>
      <c r="P75" s="4">
        <v>4.5374999999999996</v>
      </c>
      <c r="Q75" s="4">
        <v>4.25</v>
      </c>
      <c r="R75" s="4">
        <v>1.96</v>
      </c>
      <c r="S75" s="9">
        <v>1.6950000000000001</v>
      </c>
    </row>
    <row r="76" spans="1:19">
      <c r="A76" s="6" t="s">
        <v>25</v>
      </c>
      <c r="B76" s="5">
        <v>1925590.45098</v>
      </c>
      <c r="C76" s="5">
        <v>485142.10911000002</v>
      </c>
      <c r="D76" s="5">
        <v>275.541718</v>
      </c>
      <c r="E76" s="18">
        <v>25.005163</v>
      </c>
      <c r="F76" s="18">
        <v>38.669074999999999</v>
      </c>
      <c r="G76" s="18">
        <v>-0.67535500000000004</v>
      </c>
      <c r="H76" s="18">
        <v>86.972672000000003</v>
      </c>
      <c r="I76" s="18">
        <v>2.8700974000000001</v>
      </c>
      <c r="J76" s="4">
        <v>0.59458794208698729</v>
      </c>
      <c r="K76" s="9">
        <v>0.11499999999999999</v>
      </c>
      <c r="L76" s="4">
        <v>1.7899999999999998</v>
      </c>
      <c r="M76" s="4">
        <v>1.0425</v>
      </c>
      <c r="N76" s="4">
        <v>1.6675</v>
      </c>
      <c r="O76" s="9">
        <v>3.5875000000000004</v>
      </c>
      <c r="P76" s="4">
        <v>3.8875000000000002</v>
      </c>
      <c r="Q76" s="4">
        <v>4.6700000000000008</v>
      </c>
      <c r="R76" s="4">
        <v>1.9175</v>
      </c>
      <c r="S76" s="9">
        <v>1.4575</v>
      </c>
    </row>
    <row r="77" spans="1:19">
      <c r="A77" s="6">
        <v>56</v>
      </c>
      <c r="B77" s="5">
        <v>1925583.24988</v>
      </c>
      <c r="C77" s="5">
        <v>485205.11816999997</v>
      </c>
      <c r="D77" s="5">
        <v>279.11251499999997</v>
      </c>
      <c r="E77" s="17" t="s">
        <v>38</v>
      </c>
      <c r="F77" s="17" t="s">
        <v>38</v>
      </c>
      <c r="G77" s="17" t="s">
        <v>38</v>
      </c>
      <c r="H77" s="17" t="s">
        <v>38</v>
      </c>
      <c r="I77" s="17" t="s">
        <v>38</v>
      </c>
      <c r="J77" s="4">
        <v>0.86474404382301617</v>
      </c>
      <c r="K77" s="9" t="s">
        <v>38</v>
      </c>
      <c r="L77" s="4">
        <v>2.7375000000000003</v>
      </c>
      <c r="M77" s="4" t="s">
        <v>38</v>
      </c>
      <c r="N77" s="4">
        <v>4.6199999999999992</v>
      </c>
      <c r="O77" s="9">
        <v>3.5124999999999997</v>
      </c>
      <c r="P77" s="4">
        <v>3.8374999999999995</v>
      </c>
      <c r="Q77" s="4" t="s">
        <v>38</v>
      </c>
      <c r="R77" s="4">
        <v>2.1924999999999999</v>
      </c>
      <c r="S77" s="9" t="s">
        <v>38</v>
      </c>
    </row>
    <row r="78" spans="1:19">
      <c r="A78" s="6">
        <v>57</v>
      </c>
      <c r="B78" s="5">
        <v>1925546.0688499999</v>
      </c>
      <c r="C78" s="5">
        <v>485205.00563999999</v>
      </c>
      <c r="D78" s="5">
        <v>280.34529600000002</v>
      </c>
      <c r="E78" s="17" t="s">
        <v>38</v>
      </c>
      <c r="F78" s="17" t="s">
        <v>38</v>
      </c>
      <c r="G78" s="17" t="s">
        <v>38</v>
      </c>
      <c r="H78" s="17" t="s">
        <v>38</v>
      </c>
      <c r="I78" s="17" t="s">
        <v>38</v>
      </c>
      <c r="J78" s="4">
        <v>0.83615539816032347</v>
      </c>
      <c r="K78" s="9">
        <v>0.29000000000000004</v>
      </c>
      <c r="L78" s="4">
        <v>2.36</v>
      </c>
      <c r="M78" s="4">
        <v>1.3599999999999999</v>
      </c>
      <c r="N78" s="4">
        <v>4.9574999999999996</v>
      </c>
      <c r="O78" s="9">
        <v>2.835</v>
      </c>
      <c r="P78" s="4">
        <v>4.2974999999999994</v>
      </c>
      <c r="Q78" s="4" t="s">
        <v>38</v>
      </c>
      <c r="R78" s="4">
        <v>2.1225000000000001</v>
      </c>
      <c r="S78" s="9" t="s">
        <v>38</v>
      </c>
    </row>
    <row r="79" spans="1:19">
      <c r="A79" s="6">
        <v>58</v>
      </c>
      <c r="B79" s="5">
        <v>1925639.4889400001</v>
      </c>
      <c r="C79" s="5">
        <v>485191.20251999999</v>
      </c>
      <c r="D79" s="5">
        <v>282.32066700000001</v>
      </c>
      <c r="E79" s="17" t="s">
        <v>38</v>
      </c>
      <c r="F79" s="17" t="s">
        <v>38</v>
      </c>
      <c r="G79" s="17" t="s">
        <v>38</v>
      </c>
      <c r="H79" s="17" t="s">
        <v>38</v>
      </c>
      <c r="I79" s="17" t="s">
        <v>38</v>
      </c>
      <c r="J79" s="4">
        <v>0.83484369937298419</v>
      </c>
      <c r="K79" s="9" t="s">
        <v>38</v>
      </c>
      <c r="L79" s="4" t="s">
        <v>38</v>
      </c>
      <c r="M79" s="4" t="s">
        <v>38</v>
      </c>
      <c r="N79" s="4" t="s">
        <v>38</v>
      </c>
      <c r="O79" s="9">
        <v>3.6924999999999999</v>
      </c>
      <c r="P79" s="4" t="s">
        <v>38</v>
      </c>
      <c r="Q79" s="4" t="s">
        <v>38</v>
      </c>
      <c r="R79" s="4" t="s">
        <v>38</v>
      </c>
      <c r="S79" s="9" t="s">
        <v>38</v>
      </c>
    </row>
    <row r="80" spans="1:19">
      <c r="A80" s="6">
        <v>59</v>
      </c>
      <c r="B80" s="5">
        <v>1925731.6003</v>
      </c>
      <c r="C80" s="5">
        <v>485313.62024999998</v>
      </c>
      <c r="D80" s="5">
        <v>293.17400400000002</v>
      </c>
      <c r="E80" s="17" t="s">
        <v>38</v>
      </c>
      <c r="F80" s="17" t="s">
        <v>38</v>
      </c>
      <c r="G80" s="17" t="s">
        <v>38</v>
      </c>
      <c r="H80" s="17" t="s">
        <v>38</v>
      </c>
      <c r="I80" s="17" t="s">
        <v>38</v>
      </c>
      <c r="J80" s="4">
        <v>0.81658910645027449</v>
      </c>
      <c r="K80" s="9" t="s">
        <v>38</v>
      </c>
      <c r="L80" s="4" t="s">
        <v>38</v>
      </c>
      <c r="M80" s="4" t="s">
        <v>38</v>
      </c>
      <c r="N80" s="4" t="s">
        <v>38</v>
      </c>
      <c r="O80" s="9" t="s">
        <v>38</v>
      </c>
      <c r="P80" s="4">
        <v>4.04</v>
      </c>
      <c r="Q80" s="4" t="s">
        <v>38</v>
      </c>
      <c r="R80" s="4" t="s">
        <v>38</v>
      </c>
      <c r="S80" s="9" t="s">
        <v>38</v>
      </c>
    </row>
    <row r="81" spans="1:19">
      <c r="A81" s="6">
        <v>60</v>
      </c>
      <c r="B81" s="5">
        <v>1925675.0072399999</v>
      </c>
      <c r="C81" s="5">
        <v>485152.92437999998</v>
      </c>
      <c r="D81" s="5">
        <v>279.67114199999997</v>
      </c>
      <c r="E81" s="18">
        <v>27.728891000000001</v>
      </c>
      <c r="F81" s="18">
        <v>66.501587000000001</v>
      </c>
      <c r="G81" s="18">
        <v>-7.0881E-2</v>
      </c>
      <c r="H81" s="18">
        <v>21.666409999999999</v>
      </c>
      <c r="I81" s="18">
        <v>4.2093739999999998E-2</v>
      </c>
      <c r="J81" s="4">
        <v>0.8226869190005196</v>
      </c>
      <c r="K81" s="9" t="s">
        <v>38</v>
      </c>
      <c r="L81" s="4">
        <v>2.8249999999999997</v>
      </c>
      <c r="M81" s="4" t="s">
        <v>38</v>
      </c>
      <c r="N81" s="4" t="s">
        <v>38</v>
      </c>
      <c r="O81" s="9" t="s">
        <v>38</v>
      </c>
      <c r="P81" s="4" t="s">
        <v>38</v>
      </c>
      <c r="Q81" s="4" t="s">
        <v>38</v>
      </c>
      <c r="R81" s="4" t="s">
        <v>38</v>
      </c>
      <c r="S81" s="9" t="s">
        <v>38</v>
      </c>
    </row>
    <row r="82" spans="1:19">
      <c r="A82" s="6" t="s">
        <v>26</v>
      </c>
      <c r="B82" s="5">
        <v>1925678.4681899999</v>
      </c>
      <c r="C82" s="5">
        <v>485155.74786</v>
      </c>
      <c r="D82" s="5">
        <v>279.93088699999998</v>
      </c>
      <c r="E82" s="18">
        <v>28.106203000000001</v>
      </c>
      <c r="F82" s="18">
        <v>67.114097999999998</v>
      </c>
      <c r="G82" s="18">
        <v>-0.25120300000000001</v>
      </c>
      <c r="H82" s="18">
        <v>21.609966</v>
      </c>
      <c r="I82" s="18">
        <v>8.8089000000000001E-2</v>
      </c>
      <c r="J82" s="4">
        <v>0.65832932441377789</v>
      </c>
      <c r="K82" s="9">
        <v>1.17</v>
      </c>
      <c r="L82" s="4">
        <v>2.1500000000000004</v>
      </c>
      <c r="M82" s="4">
        <v>1.4449999999999998</v>
      </c>
      <c r="N82" s="4">
        <v>1.4225000000000001</v>
      </c>
      <c r="O82" s="9">
        <v>3.4525000000000001</v>
      </c>
      <c r="P82" s="4">
        <v>1.8050000000000002</v>
      </c>
      <c r="Q82" s="4">
        <v>4.8249999999999993</v>
      </c>
      <c r="R82" s="4" t="s">
        <v>38</v>
      </c>
      <c r="S82" s="9">
        <v>1.78</v>
      </c>
    </row>
    <row r="83" spans="1:19">
      <c r="A83" s="6" t="s">
        <v>27</v>
      </c>
      <c r="B83" s="5">
        <v>1925678.1365</v>
      </c>
      <c r="C83" s="5">
        <v>485149.47752999997</v>
      </c>
      <c r="D83" s="5">
        <v>279.439798</v>
      </c>
      <c r="E83" s="18">
        <v>27.843520999999999</v>
      </c>
      <c r="F83" s="18">
        <v>67.655120999999994</v>
      </c>
      <c r="G83" s="18">
        <v>8.0520999999999995E-2</v>
      </c>
      <c r="H83" s="18">
        <v>21.378140999999999</v>
      </c>
      <c r="I83" s="18">
        <v>9.8460510000000001E-2</v>
      </c>
      <c r="J83" s="4">
        <v>0.57917490508426905</v>
      </c>
      <c r="K83" s="9">
        <v>1.0075000000000001</v>
      </c>
      <c r="L83" s="4">
        <v>2.25</v>
      </c>
      <c r="M83" s="4">
        <v>1.32</v>
      </c>
      <c r="N83" s="4">
        <v>1.4275000000000002</v>
      </c>
      <c r="O83" s="9">
        <v>3.0674999999999999</v>
      </c>
      <c r="P83" s="4">
        <v>1.645</v>
      </c>
      <c r="Q83" s="4">
        <v>4.4450000000000003</v>
      </c>
      <c r="R83" s="4" t="s">
        <v>38</v>
      </c>
      <c r="S83" s="9">
        <v>1.4450000000000001</v>
      </c>
    </row>
    <row r="84" spans="1:19">
      <c r="A84" s="6" t="s">
        <v>28</v>
      </c>
      <c r="B84" s="5">
        <v>1925671.71328</v>
      </c>
      <c r="C84" s="5">
        <v>485149.93651999999</v>
      </c>
      <c r="D84" s="5">
        <v>279.41562199999998</v>
      </c>
      <c r="E84" s="18">
        <v>27.665914999999998</v>
      </c>
      <c r="F84" s="18">
        <v>64.718368999999996</v>
      </c>
      <c r="G84" s="18">
        <v>7.2014999999999996E-2</v>
      </c>
      <c r="H84" s="18">
        <v>21.892220999999999</v>
      </c>
      <c r="I84" s="18">
        <v>0.12232578</v>
      </c>
      <c r="J84" s="4">
        <v>0.54438532564098385</v>
      </c>
      <c r="K84" s="9">
        <v>1.6150000000000002</v>
      </c>
      <c r="L84" s="4">
        <v>1.9899999999999998</v>
      </c>
      <c r="M84" s="4">
        <v>1.5074999999999998</v>
      </c>
      <c r="N84" s="4">
        <v>2.1975000000000002</v>
      </c>
      <c r="O84" s="9">
        <v>3.3774999999999999</v>
      </c>
      <c r="P84" s="4">
        <v>2.1025</v>
      </c>
      <c r="Q84" s="4">
        <v>4.5925000000000002</v>
      </c>
      <c r="R84" s="4" t="s">
        <v>38</v>
      </c>
      <c r="S84" s="9">
        <v>1.6074999999999999</v>
      </c>
    </row>
    <row r="85" spans="1:19">
      <c r="A85" s="6" t="s">
        <v>29</v>
      </c>
      <c r="B85" s="5">
        <v>1925672.2953000001</v>
      </c>
      <c r="C85" s="5">
        <v>485156.0123</v>
      </c>
      <c r="D85" s="5">
        <v>279.95972799999998</v>
      </c>
      <c r="E85" s="18">
        <v>27.987473000000001</v>
      </c>
      <c r="F85" s="18">
        <v>63.541114999999998</v>
      </c>
      <c r="G85" s="18">
        <v>-0.13212199999999999</v>
      </c>
      <c r="H85" s="18">
        <v>22.174296999999999</v>
      </c>
      <c r="I85" s="18">
        <v>8.3863099999999996E-2</v>
      </c>
      <c r="J85" s="4">
        <v>0.54648828743029676</v>
      </c>
      <c r="K85" s="9">
        <v>1.6774999999999998</v>
      </c>
      <c r="L85" s="4">
        <v>2.9050000000000002</v>
      </c>
      <c r="M85" s="4">
        <v>1.25</v>
      </c>
      <c r="N85" s="4">
        <v>1.855</v>
      </c>
      <c r="O85" s="9">
        <v>3.6550000000000002</v>
      </c>
      <c r="P85" s="4">
        <v>1.8650000000000002</v>
      </c>
      <c r="Q85" s="4">
        <v>5.0625</v>
      </c>
      <c r="R85" s="4" t="s">
        <v>38</v>
      </c>
      <c r="S85" s="9">
        <v>1.9350000000000001</v>
      </c>
    </row>
    <row r="86" spans="1:19">
      <c r="A86" s="6">
        <v>61</v>
      </c>
      <c r="B86" s="5">
        <v>1925840.0876199999</v>
      </c>
      <c r="C86" s="5">
        <v>485130.86930000002</v>
      </c>
      <c r="D86" s="5">
        <v>273.40657399999998</v>
      </c>
      <c r="E86" s="18">
        <v>11.774096</v>
      </c>
      <c r="F86" s="18">
        <v>936.418274</v>
      </c>
      <c r="G86" s="18">
        <v>-1.738572</v>
      </c>
      <c r="H86" s="18">
        <v>197.94264200000001</v>
      </c>
      <c r="I86" s="18">
        <v>4.2358984900000003</v>
      </c>
      <c r="J86" s="4">
        <v>1.759668438932513</v>
      </c>
      <c r="K86" s="9" t="s">
        <v>38</v>
      </c>
      <c r="L86" s="4" t="s">
        <v>38</v>
      </c>
      <c r="M86" s="4" t="s">
        <v>38</v>
      </c>
      <c r="N86" s="4" t="s">
        <v>38</v>
      </c>
      <c r="O86" s="9" t="s">
        <v>38</v>
      </c>
      <c r="P86" s="4" t="s">
        <v>38</v>
      </c>
      <c r="Q86" s="4" t="s">
        <v>38</v>
      </c>
      <c r="R86" s="4" t="s">
        <v>38</v>
      </c>
      <c r="S86" s="9" t="s">
        <v>38</v>
      </c>
    </row>
    <row r="87" spans="1:19">
      <c r="A87" s="6" t="s">
        <v>30</v>
      </c>
      <c r="B87" s="5">
        <v>1925844.4038800001</v>
      </c>
      <c r="C87" s="5">
        <v>485128.70494000003</v>
      </c>
      <c r="D87" s="5">
        <v>273.388013</v>
      </c>
      <c r="E87" s="18">
        <v>8.0409659999999992</v>
      </c>
      <c r="F87" s="18">
        <v>8564.2666019999997</v>
      </c>
      <c r="G87" s="18">
        <v>-1.4051469999999999</v>
      </c>
      <c r="H87" s="18">
        <v>194.09045399999999</v>
      </c>
      <c r="I87" s="18">
        <v>4.9204378100000001</v>
      </c>
      <c r="J87" s="4">
        <v>1.7872989375653852</v>
      </c>
      <c r="K87" s="9">
        <v>2.0825</v>
      </c>
      <c r="L87" s="4">
        <v>2.5474999999999999</v>
      </c>
      <c r="M87" s="4">
        <v>1.25</v>
      </c>
      <c r="N87" s="4">
        <v>1.585</v>
      </c>
      <c r="O87" s="9">
        <v>1.3774999999999999</v>
      </c>
      <c r="P87" s="4">
        <v>1.96</v>
      </c>
      <c r="Q87" s="4">
        <v>4.9424999999999999</v>
      </c>
      <c r="R87" s="4">
        <v>5.37</v>
      </c>
      <c r="S87" s="9">
        <v>1.7474999999999998</v>
      </c>
    </row>
    <row r="88" spans="1:19">
      <c r="A88" s="6" t="s">
        <v>31</v>
      </c>
      <c r="B88" s="5">
        <v>1925838.4842699999</v>
      </c>
      <c r="C88" s="5">
        <v>485126.21740999998</v>
      </c>
      <c r="D88" s="5">
        <v>273.28325999999998</v>
      </c>
      <c r="E88" s="18">
        <v>8.7283670000000004</v>
      </c>
      <c r="F88" s="18">
        <v>5533.001953</v>
      </c>
      <c r="G88" s="18">
        <v>-1.905284</v>
      </c>
      <c r="H88" s="18">
        <v>196.68454</v>
      </c>
      <c r="I88" s="18">
        <v>5.2967300399999999</v>
      </c>
      <c r="J88" s="4">
        <v>1.8083395663977457</v>
      </c>
      <c r="K88" s="9">
        <v>3.5175000000000001</v>
      </c>
      <c r="L88" s="4">
        <v>2.6225000000000001</v>
      </c>
      <c r="M88" s="4">
        <v>1.0050000000000001</v>
      </c>
      <c r="N88" s="4">
        <v>1.5325</v>
      </c>
      <c r="O88" s="9">
        <v>0.96499999999999997</v>
      </c>
      <c r="P88" s="4">
        <v>1.7874999999999996</v>
      </c>
      <c r="Q88" s="4">
        <v>4.6499999999999995</v>
      </c>
      <c r="R88" s="4">
        <v>3.6649999999999996</v>
      </c>
      <c r="S88" s="9">
        <v>1.5425</v>
      </c>
    </row>
    <row r="89" spans="1:19">
      <c r="A89" s="6" t="s">
        <v>32</v>
      </c>
      <c r="B89" s="5">
        <v>1925835.68572</v>
      </c>
      <c r="C89" s="5">
        <v>485132.12388999999</v>
      </c>
      <c r="D89" s="5">
        <v>273.44588199999998</v>
      </c>
      <c r="E89" s="18">
        <v>16.476004</v>
      </c>
      <c r="F89" s="18">
        <v>93.308762000000002</v>
      </c>
      <c r="G89" s="18">
        <v>-1.2974079999999999</v>
      </c>
      <c r="H89" s="18">
        <v>193.87158199999999</v>
      </c>
      <c r="I89" s="18">
        <v>3.8964653</v>
      </c>
      <c r="J89" s="4">
        <v>1.8191449167061535</v>
      </c>
      <c r="K89" s="9">
        <v>3.1949999999999994</v>
      </c>
      <c r="L89" s="4">
        <v>2.5675000000000003</v>
      </c>
      <c r="M89" s="4">
        <v>1.7650000000000001</v>
      </c>
      <c r="N89" s="4">
        <v>1.4200000000000002</v>
      </c>
      <c r="O89" s="9">
        <v>0.90500000000000003</v>
      </c>
      <c r="P89" s="4">
        <v>2.6175000000000002</v>
      </c>
      <c r="Q89" s="4">
        <v>5.2625000000000002</v>
      </c>
      <c r="R89" s="4">
        <v>5.1349999999999998</v>
      </c>
      <c r="S89" s="9">
        <v>2.3024999999999998</v>
      </c>
    </row>
    <row r="90" spans="1:19">
      <c r="A90" s="6" t="s">
        <v>33</v>
      </c>
      <c r="B90" s="5">
        <v>1925841.46524</v>
      </c>
      <c r="C90" s="5">
        <v>485135.41554999998</v>
      </c>
      <c r="D90" s="5">
        <v>273.59004599999997</v>
      </c>
      <c r="E90" s="18">
        <v>15.239388</v>
      </c>
      <c r="F90" s="18">
        <v>112.05832700000001</v>
      </c>
      <c r="G90" s="18">
        <v>-1.5253620000000001</v>
      </c>
      <c r="H90" s="18">
        <v>194.07017500000001</v>
      </c>
      <c r="I90" s="18">
        <v>3.90155816</v>
      </c>
      <c r="J90" s="4">
        <v>1.8475955548339167</v>
      </c>
      <c r="K90" s="9">
        <v>3.1274999999999999</v>
      </c>
      <c r="L90" s="4">
        <v>3.4524999999999997</v>
      </c>
      <c r="M90" s="4">
        <v>2.1924999999999999</v>
      </c>
      <c r="N90" s="4">
        <v>1.87</v>
      </c>
      <c r="O90" s="9">
        <v>1.24</v>
      </c>
      <c r="P90" s="4">
        <v>2.8875000000000002</v>
      </c>
      <c r="Q90" s="4">
        <v>5.2874999999999996</v>
      </c>
      <c r="R90" s="4">
        <v>4.76</v>
      </c>
      <c r="S90" s="9">
        <v>1.7624999999999997</v>
      </c>
    </row>
    <row r="91" spans="1:19">
      <c r="A91" s="6">
        <v>62</v>
      </c>
      <c r="B91" s="5">
        <v>1925808.4197</v>
      </c>
      <c r="C91" s="5">
        <v>485105.94972999999</v>
      </c>
      <c r="D91" s="5">
        <v>272.43719399999998</v>
      </c>
      <c r="E91" s="17" t="s">
        <v>38</v>
      </c>
      <c r="F91" s="17" t="s">
        <v>38</v>
      </c>
      <c r="G91" s="17" t="s">
        <v>38</v>
      </c>
      <c r="H91" s="17" t="s">
        <v>38</v>
      </c>
      <c r="I91" s="17" t="s">
        <v>38</v>
      </c>
      <c r="J91" s="4">
        <v>2.743908658616784</v>
      </c>
      <c r="K91" s="9">
        <v>3.3975000000000004</v>
      </c>
      <c r="L91" s="4">
        <v>2.8649999999999998</v>
      </c>
      <c r="M91" s="4">
        <v>6.1899999999999995</v>
      </c>
      <c r="N91" s="4">
        <v>1.25</v>
      </c>
      <c r="O91" s="9">
        <v>1.48</v>
      </c>
      <c r="P91" s="4">
        <v>1.4</v>
      </c>
      <c r="Q91" s="4" t="s">
        <v>38</v>
      </c>
      <c r="R91" s="4">
        <v>4.3925000000000001</v>
      </c>
      <c r="S91" s="9" t="s">
        <v>38</v>
      </c>
    </row>
    <row r="92" spans="1:19">
      <c r="A92" s="6">
        <v>63</v>
      </c>
      <c r="B92" s="5">
        <v>1925877.5176599999</v>
      </c>
      <c r="C92" s="5">
        <v>485152.28821999999</v>
      </c>
      <c r="D92" s="5">
        <v>274.04981500000002</v>
      </c>
      <c r="E92" s="17" t="s">
        <v>38</v>
      </c>
      <c r="F92" s="17" t="s">
        <v>38</v>
      </c>
      <c r="G92" s="17" t="s">
        <v>38</v>
      </c>
      <c r="H92" s="17" t="s">
        <v>38</v>
      </c>
      <c r="I92" s="17" t="s">
        <v>38</v>
      </c>
      <c r="J92" s="4">
        <v>2.7834847185291323</v>
      </c>
      <c r="K92" s="9">
        <v>3.6574999999999998</v>
      </c>
      <c r="L92" s="4">
        <v>2.6025</v>
      </c>
      <c r="M92" s="4">
        <v>1.2025000000000001</v>
      </c>
      <c r="N92" s="4">
        <v>3.2399999999999998</v>
      </c>
      <c r="O92" s="9">
        <v>1.5174999999999998</v>
      </c>
      <c r="P92" s="4">
        <v>4.3975</v>
      </c>
      <c r="Q92" s="4" t="s">
        <v>38</v>
      </c>
      <c r="R92" s="4">
        <v>4.5374999999999996</v>
      </c>
      <c r="S92" s="9" t="s">
        <v>38</v>
      </c>
    </row>
    <row r="93" spans="1:19">
      <c r="A93" s="6">
        <v>64</v>
      </c>
      <c r="B93" s="5">
        <v>1925862.2138799999</v>
      </c>
      <c r="C93" s="5">
        <v>485131.31517000002</v>
      </c>
      <c r="D93" s="5">
        <v>273.844223</v>
      </c>
      <c r="E93" s="17" t="s">
        <v>38</v>
      </c>
      <c r="F93" s="17" t="s">
        <v>38</v>
      </c>
      <c r="G93" s="17" t="s">
        <v>38</v>
      </c>
      <c r="H93" s="17" t="s">
        <v>38</v>
      </c>
      <c r="I93" s="17" t="s">
        <v>38</v>
      </c>
      <c r="J93" s="4">
        <v>2.799700163260594</v>
      </c>
      <c r="K93" s="9">
        <v>2.7475000000000001</v>
      </c>
      <c r="L93" s="4">
        <v>2.5949999999999998</v>
      </c>
      <c r="M93" s="4">
        <v>7.3049999999999997</v>
      </c>
      <c r="N93" s="4">
        <v>3.2574999999999994</v>
      </c>
      <c r="O93" s="9">
        <v>1.7200000000000002</v>
      </c>
      <c r="P93" s="4">
        <v>4.3325000000000005</v>
      </c>
      <c r="Q93" s="4" t="s">
        <v>38</v>
      </c>
      <c r="R93" s="4">
        <v>4.83</v>
      </c>
      <c r="S93" s="9" t="s">
        <v>38</v>
      </c>
    </row>
    <row r="94" spans="1:19">
      <c r="A94" s="6">
        <v>65</v>
      </c>
      <c r="B94" s="5">
        <v>1925919.7249199999</v>
      </c>
      <c r="C94" s="5">
        <v>485263.60000999999</v>
      </c>
      <c r="D94" s="5">
        <v>280.97541799999999</v>
      </c>
      <c r="E94" s="18">
        <v>37.672832</v>
      </c>
      <c r="F94" s="18">
        <v>103.050606</v>
      </c>
      <c r="G94" s="18">
        <v>-0.75304099999999996</v>
      </c>
      <c r="H94" s="18">
        <v>117.757355</v>
      </c>
      <c r="I94" s="18">
        <v>4.09343243</v>
      </c>
      <c r="J94" s="4">
        <v>2.7861716378725894</v>
      </c>
      <c r="K94" s="9">
        <v>3.4849999999999999</v>
      </c>
      <c r="L94" s="4">
        <v>0.8</v>
      </c>
      <c r="M94" s="4">
        <v>6.93</v>
      </c>
      <c r="N94" s="4">
        <v>1.9775</v>
      </c>
      <c r="O94" s="9">
        <v>2.8874999999999997</v>
      </c>
      <c r="P94" s="4">
        <v>2.4125000000000001</v>
      </c>
      <c r="Q94" s="4">
        <v>4.7050000000000001</v>
      </c>
      <c r="R94" s="4">
        <v>3.08</v>
      </c>
      <c r="S94" s="9">
        <v>1.7424999999999999</v>
      </c>
    </row>
    <row r="95" spans="1:19">
      <c r="A95" s="6">
        <v>66</v>
      </c>
      <c r="B95" s="5">
        <v>1925886.5872</v>
      </c>
      <c r="C95" s="5">
        <v>485340.24192</v>
      </c>
      <c r="D95" s="5">
        <v>290.518686</v>
      </c>
      <c r="E95" s="17" t="s">
        <v>38</v>
      </c>
      <c r="F95" s="17" t="s">
        <v>38</v>
      </c>
      <c r="G95" s="17" t="s">
        <v>38</v>
      </c>
      <c r="H95" s="17" t="s">
        <v>38</v>
      </c>
      <c r="I95" s="17" t="s">
        <v>38</v>
      </c>
      <c r="J95" s="4">
        <v>2.799700163260594</v>
      </c>
      <c r="K95" s="9">
        <v>0.4375</v>
      </c>
      <c r="L95" s="4">
        <v>0.71750000000000003</v>
      </c>
      <c r="M95" s="4">
        <v>7.2225000000000001</v>
      </c>
      <c r="N95" s="4">
        <v>1.9500000000000002</v>
      </c>
      <c r="O95" s="9">
        <v>1.1850000000000001</v>
      </c>
      <c r="P95" s="4">
        <v>1.7200000000000002</v>
      </c>
      <c r="Q95" s="4" t="s">
        <v>38</v>
      </c>
      <c r="R95" s="4">
        <v>4.1899999999999995</v>
      </c>
      <c r="S95" s="9" t="s">
        <v>38</v>
      </c>
    </row>
    <row r="96" spans="1:19">
      <c r="A96" s="6">
        <v>67</v>
      </c>
      <c r="B96" s="5">
        <v>1925883.03143</v>
      </c>
      <c r="C96" s="5">
        <v>485450.98054000002</v>
      </c>
      <c r="D96" s="5">
        <v>301.33524799999998</v>
      </c>
      <c r="E96" s="18">
        <v>8.8292889999999993</v>
      </c>
      <c r="F96" s="18">
        <v>1.238264</v>
      </c>
      <c r="G96" s="18">
        <v>0.88970000000000005</v>
      </c>
      <c r="H96" s="18">
        <v>43.151744999999998</v>
      </c>
      <c r="I96" s="17" t="s">
        <v>38</v>
      </c>
      <c r="J96" s="4">
        <v>0.5493040595950649</v>
      </c>
      <c r="K96" s="9">
        <v>0.13500000000000001</v>
      </c>
      <c r="L96" s="4">
        <v>0.88500000000000001</v>
      </c>
      <c r="M96" s="4">
        <v>1.2650000000000001</v>
      </c>
      <c r="N96" s="4">
        <v>1.7349999999999999</v>
      </c>
      <c r="O96" s="9">
        <v>3.9275000000000002</v>
      </c>
      <c r="P96" s="4">
        <v>1.4850000000000001</v>
      </c>
      <c r="Q96" s="4">
        <v>4.8075000000000001</v>
      </c>
      <c r="R96" s="4">
        <v>4.08</v>
      </c>
      <c r="S96" s="9">
        <v>3.2374999999999998</v>
      </c>
    </row>
    <row r="97" spans="1:19">
      <c r="A97" s="6">
        <v>68</v>
      </c>
      <c r="B97" s="5">
        <v>1925874.35461</v>
      </c>
      <c r="C97" s="5">
        <v>485229.11057999998</v>
      </c>
      <c r="D97" s="5">
        <v>281.26123699999999</v>
      </c>
      <c r="E97" s="18">
        <v>42.222304999999999</v>
      </c>
      <c r="F97" s="18">
        <v>37.439297000000003</v>
      </c>
      <c r="G97" s="18">
        <v>0.29713400000000001</v>
      </c>
      <c r="H97" s="18">
        <v>53.317154000000002</v>
      </c>
      <c r="I97" s="18">
        <v>3.1775150299999999</v>
      </c>
      <c r="J97" s="4">
        <v>2.7794659452688522</v>
      </c>
      <c r="K97" s="9">
        <v>3.68</v>
      </c>
      <c r="L97" s="4">
        <v>1.228</v>
      </c>
      <c r="M97" s="4">
        <v>6.7374999999999998</v>
      </c>
      <c r="N97" s="4">
        <v>1.7849999999999999</v>
      </c>
      <c r="O97" s="9">
        <v>2.3975</v>
      </c>
      <c r="P97" s="4">
        <v>2.4924999999999997</v>
      </c>
      <c r="Q97" s="4">
        <v>4.9625000000000004</v>
      </c>
      <c r="R97" s="4">
        <v>4.7825000000000006</v>
      </c>
      <c r="S97" s="9">
        <v>1.98</v>
      </c>
    </row>
    <row r="98" spans="1:19">
      <c r="A98" s="6">
        <v>69</v>
      </c>
      <c r="B98" s="5">
        <v>1926026.61054</v>
      </c>
      <c r="C98" s="5">
        <v>485283.46905999997</v>
      </c>
      <c r="D98" s="5">
        <v>281.68919799999998</v>
      </c>
      <c r="E98" s="17" t="s">
        <v>38</v>
      </c>
      <c r="F98" s="17" t="s">
        <v>38</v>
      </c>
      <c r="G98" s="17" t="s">
        <v>38</v>
      </c>
      <c r="H98" s="17" t="s">
        <v>38</v>
      </c>
      <c r="I98" s="17" t="s">
        <v>38</v>
      </c>
      <c r="J98" s="4">
        <v>2.7834847185291323</v>
      </c>
      <c r="K98" s="9">
        <v>0.38500000000000001</v>
      </c>
      <c r="L98" s="4">
        <v>3.2225000000000001</v>
      </c>
      <c r="M98" s="4">
        <v>7.2925000000000004</v>
      </c>
      <c r="N98" s="4">
        <v>1.9699999999999998</v>
      </c>
      <c r="O98" s="9">
        <v>3.5149999999999997</v>
      </c>
      <c r="P98" s="4">
        <v>2.8825000000000003</v>
      </c>
      <c r="Q98" s="4" t="s">
        <v>38</v>
      </c>
      <c r="R98" s="4">
        <v>4.8975</v>
      </c>
      <c r="S98" s="9" t="s">
        <v>38</v>
      </c>
    </row>
    <row r="99" spans="1:19">
      <c r="A99" s="6">
        <v>70</v>
      </c>
      <c r="B99" s="5">
        <v>1926144.2425200001</v>
      </c>
      <c r="C99" s="5">
        <v>485334.84461999999</v>
      </c>
      <c r="D99" s="5">
        <v>283.44011499999999</v>
      </c>
      <c r="E99" s="18">
        <v>24.122404</v>
      </c>
      <c r="F99" s="18">
        <v>293.444031</v>
      </c>
      <c r="G99" s="18">
        <v>-1.206113</v>
      </c>
      <c r="H99" s="18">
        <v>99.101348999999999</v>
      </c>
      <c r="I99" s="18">
        <v>4.5131001499999996</v>
      </c>
      <c r="J99" s="4">
        <v>0.8583453677252777</v>
      </c>
      <c r="K99" s="9">
        <v>3.1349999999999998</v>
      </c>
      <c r="L99" s="4">
        <v>3.3</v>
      </c>
      <c r="M99" s="4">
        <v>8.9774999999999991</v>
      </c>
      <c r="N99" s="4">
        <v>2.2374999999999998</v>
      </c>
      <c r="O99" s="9">
        <v>1.7600000000000002</v>
      </c>
      <c r="P99" s="4">
        <v>2.4125000000000001</v>
      </c>
      <c r="Q99" s="4">
        <v>4.6974999999999998</v>
      </c>
      <c r="R99" s="4">
        <v>4.24</v>
      </c>
      <c r="S99" s="9">
        <v>3.8049999999999997</v>
      </c>
    </row>
    <row r="100" spans="1:19">
      <c r="A100" s="6">
        <v>71</v>
      </c>
      <c r="B100" s="5">
        <v>1926004.54201</v>
      </c>
      <c r="C100" s="5">
        <v>485377.01186000003</v>
      </c>
      <c r="D100" s="5">
        <v>292.51194099999998</v>
      </c>
      <c r="E100" s="18">
        <v>40.329467999999999</v>
      </c>
      <c r="F100" s="18">
        <v>21.201902</v>
      </c>
      <c r="G100" s="18">
        <v>5.5571000000000002E-2</v>
      </c>
      <c r="H100" s="18">
        <v>77.172295000000005</v>
      </c>
      <c r="I100" s="18">
        <v>2.6069948699999999</v>
      </c>
      <c r="J100" s="4" t="s">
        <v>38</v>
      </c>
      <c r="K100" s="9" t="s">
        <v>38</v>
      </c>
      <c r="L100" s="4">
        <v>3.61</v>
      </c>
      <c r="M100" s="4">
        <v>1.54</v>
      </c>
      <c r="N100" s="4" t="s">
        <v>38</v>
      </c>
      <c r="O100" s="9">
        <v>3.5449999999999999</v>
      </c>
      <c r="P100" s="4">
        <v>2.2450000000000001</v>
      </c>
      <c r="Q100" s="4" t="s">
        <v>38</v>
      </c>
      <c r="R100" s="4" t="s">
        <v>38</v>
      </c>
      <c r="S100" s="9" t="s">
        <v>38</v>
      </c>
    </row>
    <row r="101" spans="1:19">
      <c r="A101" s="6">
        <v>72</v>
      </c>
      <c r="B101" s="5">
        <v>1926178.98884</v>
      </c>
      <c r="C101" s="5">
        <v>485440.46513999999</v>
      </c>
      <c r="D101" s="5">
        <v>294.548247</v>
      </c>
      <c r="E101" s="18">
        <v>34.980609999999999</v>
      </c>
      <c r="F101" s="18">
        <v>44.189171000000002</v>
      </c>
      <c r="G101" s="18">
        <v>-0.82959300000000002</v>
      </c>
      <c r="H101" s="18">
        <v>120.882896</v>
      </c>
      <c r="I101" s="18">
        <v>4.5201363600000004</v>
      </c>
      <c r="J101" s="4">
        <v>1.2309693385554445</v>
      </c>
      <c r="K101" s="9">
        <v>0.33750000000000002</v>
      </c>
      <c r="L101" s="4">
        <v>2.9499999999999997</v>
      </c>
      <c r="M101" s="4">
        <v>1.0575000000000001</v>
      </c>
      <c r="N101" s="4">
        <v>1.1599999999999999</v>
      </c>
      <c r="O101" s="9">
        <v>2.04</v>
      </c>
      <c r="P101" s="4">
        <v>1.3225</v>
      </c>
      <c r="Q101" s="4">
        <v>3.9624999999999995</v>
      </c>
      <c r="R101" s="4">
        <v>3.53</v>
      </c>
      <c r="S101" s="9">
        <v>3.0700000000000003</v>
      </c>
    </row>
    <row r="102" spans="1:19">
      <c r="A102" s="6">
        <v>73</v>
      </c>
      <c r="B102" s="5">
        <v>1926150.0548400001</v>
      </c>
      <c r="C102" s="5">
        <v>485389.26708000002</v>
      </c>
      <c r="D102" s="5">
        <v>287.94858499999998</v>
      </c>
      <c r="E102" s="18">
        <v>32.824466999999999</v>
      </c>
      <c r="F102" s="18">
        <v>148.94714400000001</v>
      </c>
      <c r="G102" s="18">
        <v>-1.5758289999999999</v>
      </c>
      <c r="H102" s="18">
        <v>99.764977000000002</v>
      </c>
      <c r="I102" s="18">
        <v>3.8056087500000002</v>
      </c>
      <c r="J102" s="4">
        <v>0.82700442878373281</v>
      </c>
      <c r="K102" s="9">
        <v>2.3024999999999998</v>
      </c>
      <c r="L102" s="4">
        <v>3.7774999999999999</v>
      </c>
      <c r="M102" s="4">
        <v>1.7475000000000001</v>
      </c>
      <c r="N102" s="4">
        <v>2.1999999999999997</v>
      </c>
      <c r="O102" s="9">
        <v>2.5750000000000002</v>
      </c>
      <c r="P102" s="4">
        <v>2.5500000000000003</v>
      </c>
      <c r="Q102" s="4">
        <v>5.0350000000000001</v>
      </c>
      <c r="R102" s="4">
        <v>4.5649999999999995</v>
      </c>
      <c r="S102" s="9">
        <v>4.09</v>
      </c>
    </row>
    <row r="103" spans="1:19">
      <c r="A103" s="6">
        <v>74</v>
      </c>
      <c r="B103" s="5">
        <v>1925568.54748</v>
      </c>
      <c r="C103" s="5">
        <v>485367.50826999999</v>
      </c>
      <c r="D103" s="5">
        <v>294.69867900000003</v>
      </c>
      <c r="E103" s="18">
        <v>23.732664</v>
      </c>
      <c r="F103" s="18">
        <v>20.839821000000001</v>
      </c>
      <c r="G103" s="18">
        <v>0.46157799999999999</v>
      </c>
      <c r="H103" s="18">
        <v>55.055976999999999</v>
      </c>
      <c r="I103" s="18">
        <v>1.8110450499999999</v>
      </c>
      <c r="J103" s="4" t="s">
        <v>38</v>
      </c>
      <c r="K103" s="9" t="s">
        <v>38</v>
      </c>
      <c r="L103" s="4">
        <v>0.4975</v>
      </c>
      <c r="M103" s="4" t="s">
        <v>38</v>
      </c>
      <c r="N103" s="4" t="s">
        <v>38</v>
      </c>
      <c r="O103" s="9" t="s">
        <v>38</v>
      </c>
      <c r="P103" s="4" t="s">
        <v>38</v>
      </c>
      <c r="Q103" s="4" t="s">
        <v>38</v>
      </c>
      <c r="R103" s="4" t="s">
        <v>38</v>
      </c>
      <c r="S103" s="9" t="s">
        <v>38</v>
      </c>
    </row>
    <row r="104" spans="1:19">
      <c r="A104" s="6" t="s">
        <v>35</v>
      </c>
      <c r="B104" s="5">
        <v>1925572.8191200001</v>
      </c>
      <c r="C104" s="5">
        <v>485369.80090999999</v>
      </c>
      <c r="D104" s="5">
        <v>294.96225800000002</v>
      </c>
      <c r="E104" s="18">
        <v>23.173960000000001</v>
      </c>
      <c r="F104" s="18">
        <v>20.611912</v>
      </c>
      <c r="G104" s="18">
        <v>0.42755500000000002</v>
      </c>
      <c r="H104" s="18">
        <v>56.216248</v>
      </c>
      <c r="I104" s="18">
        <v>1.76671636</v>
      </c>
      <c r="J104" s="4">
        <v>2.0057930295720876</v>
      </c>
      <c r="K104" s="9">
        <v>6.0000000000000005E-2</v>
      </c>
      <c r="L104" s="4">
        <v>0.255</v>
      </c>
      <c r="M104" s="4">
        <v>5.6724999999999994</v>
      </c>
      <c r="N104" s="4">
        <v>3.23</v>
      </c>
      <c r="O104" s="9">
        <v>2.2999999999999998</v>
      </c>
      <c r="P104" s="4">
        <v>3.2225000000000001</v>
      </c>
      <c r="Q104" s="4">
        <v>3.5</v>
      </c>
      <c r="R104" s="4">
        <v>1.4475</v>
      </c>
      <c r="S104" s="9">
        <v>1.1575</v>
      </c>
    </row>
    <row r="105" spans="1:19">
      <c r="A105" s="6" t="s">
        <v>34</v>
      </c>
      <c r="B105" s="5">
        <v>1925569.8191199999</v>
      </c>
      <c r="C105" s="5">
        <v>485365.68641999998</v>
      </c>
      <c r="D105" s="5">
        <v>294.69867900000003</v>
      </c>
      <c r="E105" s="16" t="s">
        <v>38</v>
      </c>
      <c r="F105" s="16" t="s">
        <v>38</v>
      </c>
      <c r="G105" s="16" t="s">
        <v>38</v>
      </c>
      <c r="H105" s="16" t="s">
        <v>38</v>
      </c>
      <c r="I105" s="16" t="s">
        <v>38</v>
      </c>
      <c r="J105" s="4">
        <v>1.7170967855957073</v>
      </c>
      <c r="K105" s="9">
        <v>0.11499999999999999</v>
      </c>
      <c r="L105" s="4">
        <v>0.43500000000000005</v>
      </c>
      <c r="M105" s="4">
        <v>5.74</v>
      </c>
      <c r="N105" s="4">
        <v>3.605</v>
      </c>
      <c r="O105" s="9">
        <v>2.2774999999999999</v>
      </c>
      <c r="P105" s="4">
        <v>2.8250000000000002</v>
      </c>
      <c r="Q105" s="4">
        <v>2.9924999999999997</v>
      </c>
      <c r="R105" s="4">
        <v>1.3075000000000001</v>
      </c>
      <c r="S105" s="9">
        <v>1.1025</v>
      </c>
    </row>
    <row r="106" spans="1:19">
      <c r="A106" s="6" t="s">
        <v>36</v>
      </c>
      <c r="B106" s="5">
        <v>1925563.7423700001</v>
      </c>
      <c r="C106" s="5">
        <v>485365.68641999998</v>
      </c>
      <c r="D106" s="5">
        <v>294.47771999999998</v>
      </c>
      <c r="E106" s="18">
        <v>23.641891000000001</v>
      </c>
      <c r="F106" s="18">
        <v>21.457443000000001</v>
      </c>
      <c r="G106" s="18">
        <v>-3.5157000000000001E-2</v>
      </c>
      <c r="H106" s="18">
        <v>53.83419</v>
      </c>
      <c r="I106" s="18">
        <v>1.87916338</v>
      </c>
      <c r="J106" s="4">
        <v>0.70560255284394902</v>
      </c>
      <c r="K106" s="9">
        <v>0.28500000000000003</v>
      </c>
      <c r="L106" s="4">
        <v>0.54499999999999993</v>
      </c>
      <c r="M106" s="4">
        <v>6.7349999999999994</v>
      </c>
      <c r="N106" s="4">
        <v>4.04</v>
      </c>
      <c r="O106" s="9">
        <v>2.7025000000000001</v>
      </c>
      <c r="P106" s="4">
        <v>3.3600000000000003</v>
      </c>
      <c r="Q106" s="4">
        <v>3.9899999999999998</v>
      </c>
      <c r="R106" s="4">
        <v>1.38</v>
      </c>
      <c r="S106" s="9">
        <v>1.2149999999999999</v>
      </c>
    </row>
    <row r="107" spans="1:19">
      <c r="A107" s="6" t="s">
        <v>37</v>
      </c>
      <c r="B107" s="5">
        <v>1925566.5455100001</v>
      </c>
      <c r="C107" s="5">
        <v>485371.39539999998</v>
      </c>
      <c r="D107" s="5">
        <v>294.88398100000001</v>
      </c>
      <c r="E107" s="18">
        <v>22.184507</v>
      </c>
      <c r="F107" s="18">
        <v>19.521858000000002</v>
      </c>
      <c r="G107" s="18">
        <v>0.47178500000000001</v>
      </c>
      <c r="H107" s="18">
        <v>52.255755999999998</v>
      </c>
      <c r="I107" s="18">
        <v>1.83421981</v>
      </c>
      <c r="J107" s="4">
        <v>0.86024330782540515</v>
      </c>
      <c r="K107" s="9">
        <v>0.25750000000000001</v>
      </c>
      <c r="L107" s="4">
        <v>0.41749999999999998</v>
      </c>
      <c r="M107" s="4">
        <v>6.3624999999999998</v>
      </c>
      <c r="N107" s="4">
        <v>4.1900000000000004</v>
      </c>
      <c r="O107" s="9">
        <v>2.5150000000000001</v>
      </c>
      <c r="P107" s="4">
        <v>3.0074999999999998</v>
      </c>
      <c r="Q107" s="4">
        <v>4.25</v>
      </c>
      <c r="R107" s="4">
        <v>1.5349999999999997</v>
      </c>
      <c r="S107" s="9">
        <v>1.4</v>
      </c>
    </row>
    <row r="108" spans="1:19">
      <c r="L108" s="5"/>
      <c r="M108" s="5"/>
    </row>
    <row r="109" spans="1:19">
      <c r="L109" s="5"/>
      <c r="M109" s="5"/>
    </row>
    <row r="110" spans="1:19">
      <c r="L110" s="5"/>
      <c r="M110" s="5"/>
    </row>
    <row r="111" spans="1:19">
      <c r="L111" s="5"/>
      <c r="M111" s="5"/>
    </row>
    <row r="112" spans="1:19">
      <c r="L112" s="5"/>
      <c r="M112" s="5"/>
    </row>
    <row r="113" spans="12:13">
      <c r="L113" s="5"/>
      <c r="M113" s="5"/>
    </row>
    <row r="114" spans="12:13">
      <c r="M114" s="5"/>
    </row>
    <row r="115" spans="12:13">
      <c r="M115" s="5"/>
    </row>
  </sheetData>
  <phoneticPr fontId="27" type="noConversion"/>
  <pageMargins left="0.7" right="0.7" top="0.75" bottom="0.75" header="0.3" footer="0.3"/>
  <pageSetup orientation="portrait" horizontalDpi="300" verticalDpi="300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13"/>
  <sheetViews>
    <sheetView workbookViewId="0">
      <selection activeCell="I25" sqref="I25"/>
    </sheetView>
  </sheetViews>
  <sheetFormatPr defaultColWidth="8.85546875" defaultRowHeight="15.75"/>
  <cols>
    <col min="1" max="1" width="5.140625" style="9" bestFit="1" customWidth="1"/>
    <col min="2" max="2" width="17.140625" style="9" customWidth="1"/>
    <col min="3" max="3" width="15.42578125" style="9" bestFit="1" customWidth="1"/>
    <col min="4" max="4" width="11.42578125" style="9" bestFit="1" customWidth="1"/>
    <col min="5" max="5" width="13.140625" customWidth="1"/>
    <col min="6" max="6" width="12.7109375" customWidth="1"/>
    <col min="7" max="7" width="11.7109375" customWidth="1"/>
    <col min="8" max="8" width="12.42578125" customWidth="1"/>
    <col min="9" max="9" width="11.7109375" customWidth="1"/>
    <col min="10" max="20" width="9" style="9" bestFit="1" customWidth="1"/>
    <col min="21" max="16384" width="8.85546875" style="3"/>
  </cols>
  <sheetData>
    <row r="1" spans="1:20" ht="15">
      <c r="A1" s="1" t="s">
        <v>57</v>
      </c>
      <c r="B1" s="2" t="s">
        <v>54</v>
      </c>
      <c r="C1" s="2" t="s">
        <v>55</v>
      </c>
      <c r="D1" s="2" t="s">
        <v>56</v>
      </c>
      <c r="E1" s="17" t="s">
        <v>79</v>
      </c>
      <c r="F1" s="17" t="s">
        <v>77</v>
      </c>
      <c r="G1" s="17" t="s">
        <v>78</v>
      </c>
      <c r="H1" s="17" t="s">
        <v>75</v>
      </c>
      <c r="I1" s="17" t="s">
        <v>76</v>
      </c>
      <c r="J1" s="12" t="s">
        <v>63</v>
      </c>
      <c r="K1" s="12" t="s">
        <v>39</v>
      </c>
      <c r="L1" s="12" t="s">
        <v>40</v>
      </c>
      <c r="M1" s="11" t="s">
        <v>41</v>
      </c>
      <c r="N1" s="11" t="s">
        <v>42</v>
      </c>
      <c r="O1" s="12" t="s">
        <v>43</v>
      </c>
      <c r="P1" s="12" t="s">
        <v>44</v>
      </c>
      <c r="Q1" s="12" t="s">
        <v>45</v>
      </c>
      <c r="R1" s="10" t="s">
        <v>46</v>
      </c>
      <c r="S1" s="9" t="s">
        <v>47</v>
      </c>
      <c r="T1" s="9" t="s">
        <v>48</v>
      </c>
    </row>
    <row r="2" spans="1:20" ht="15">
      <c r="A2" s="14" t="s">
        <v>0</v>
      </c>
      <c r="B2" s="5">
        <v>1925504.35732</v>
      </c>
      <c r="C2" s="5">
        <v>484922.89629</v>
      </c>
      <c r="D2" s="13">
        <v>271.34342600000002</v>
      </c>
      <c r="E2" s="18">
        <v>43.565018000000002</v>
      </c>
      <c r="F2" s="18">
        <v>72.867042999999995</v>
      </c>
      <c r="G2" s="18">
        <v>-0.50297199999999997</v>
      </c>
      <c r="H2" s="18">
        <v>47.867843999999998</v>
      </c>
      <c r="I2" s="18">
        <v>3.2687444700000001</v>
      </c>
      <c r="J2" s="8">
        <v>85.44</v>
      </c>
      <c r="K2" s="8">
        <v>95.32</v>
      </c>
      <c r="L2" s="8">
        <v>98.44</v>
      </c>
      <c r="M2" s="8">
        <v>98.96</v>
      </c>
      <c r="N2" s="8">
        <v>95.32</v>
      </c>
      <c r="O2" s="8">
        <v>97.14</v>
      </c>
      <c r="P2" s="12">
        <v>98.96</v>
      </c>
      <c r="Q2" s="12">
        <v>99.22</v>
      </c>
      <c r="R2" s="12">
        <v>99.48</v>
      </c>
      <c r="S2" s="7">
        <v>99.48</v>
      </c>
      <c r="T2" s="9">
        <v>98.96</v>
      </c>
    </row>
    <row r="3" spans="1:20" ht="15">
      <c r="A3" s="14" t="s">
        <v>1</v>
      </c>
      <c r="B3" s="5">
        <v>1925501.29532</v>
      </c>
      <c r="C3" s="5">
        <v>484912.68568</v>
      </c>
      <c r="D3" s="13">
        <v>272.48029100000002</v>
      </c>
      <c r="E3" s="18">
        <v>47.448776000000002</v>
      </c>
      <c r="F3" s="18">
        <v>65.810340999999994</v>
      </c>
      <c r="G3" s="18">
        <v>-0.63169299999999995</v>
      </c>
      <c r="H3" s="18">
        <v>44.285389000000002</v>
      </c>
      <c r="I3" s="18">
        <v>3.4089362599999999</v>
      </c>
      <c r="J3" s="8">
        <v>86.74</v>
      </c>
      <c r="K3" s="8">
        <v>95.58</v>
      </c>
      <c r="L3" s="8">
        <v>97.92</v>
      </c>
      <c r="M3" s="8">
        <v>99.48</v>
      </c>
      <c r="N3" s="8">
        <v>100</v>
      </c>
      <c r="O3" s="8">
        <v>97.92</v>
      </c>
      <c r="P3" s="12">
        <v>99.48</v>
      </c>
      <c r="Q3" s="12">
        <v>99.48</v>
      </c>
      <c r="R3" s="12">
        <v>98.7</v>
      </c>
      <c r="S3" s="7">
        <v>99.22</v>
      </c>
      <c r="T3" s="9">
        <v>99.22</v>
      </c>
    </row>
    <row r="4" spans="1:20" ht="15">
      <c r="A4" s="14" t="s">
        <v>2</v>
      </c>
      <c r="B4" s="5">
        <v>1925511.18276</v>
      </c>
      <c r="C4" s="5">
        <v>484895.94786000001</v>
      </c>
      <c r="D4" s="13">
        <v>275.47549199999997</v>
      </c>
      <c r="E4" s="18">
        <v>47.015861999999998</v>
      </c>
      <c r="F4" s="18">
        <v>56.164969999999997</v>
      </c>
      <c r="G4" s="18">
        <v>0.56874999999999998</v>
      </c>
      <c r="H4" s="18">
        <v>37.453690000000002</v>
      </c>
      <c r="I4" s="18">
        <v>2.23376083</v>
      </c>
      <c r="J4" s="8">
        <v>85.18</v>
      </c>
      <c r="K4" s="8">
        <v>92.2</v>
      </c>
      <c r="L4" s="8">
        <v>96.36</v>
      </c>
      <c r="M4" s="8">
        <v>98.18</v>
      </c>
      <c r="N4" s="8">
        <v>99.22</v>
      </c>
      <c r="O4" s="8">
        <v>96.88</v>
      </c>
      <c r="P4" s="12">
        <v>97.92</v>
      </c>
      <c r="Q4" s="12">
        <v>99.22</v>
      </c>
      <c r="R4" s="12">
        <v>98.96</v>
      </c>
      <c r="S4" s="7">
        <v>99.22</v>
      </c>
      <c r="T4" s="9">
        <v>96.88</v>
      </c>
    </row>
    <row r="5" spans="1:20" ht="15">
      <c r="A5" s="14" t="s">
        <v>3</v>
      </c>
      <c r="B5" s="5">
        <v>1925518.3392399999</v>
      </c>
      <c r="C5" s="5">
        <v>484857.73632000003</v>
      </c>
      <c r="D5" s="13">
        <v>280.40821699999998</v>
      </c>
      <c r="E5" s="18">
        <v>39.505096000000002</v>
      </c>
      <c r="F5" s="18">
        <v>44.406714999999998</v>
      </c>
      <c r="G5" s="18">
        <v>3.6858000000000002E-2</v>
      </c>
      <c r="H5" s="18">
        <v>27.777372</v>
      </c>
      <c r="I5" s="18">
        <v>3.19109607</v>
      </c>
      <c r="J5" s="8">
        <v>88.56</v>
      </c>
      <c r="K5" s="8">
        <v>90.12</v>
      </c>
      <c r="L5" s="8">
        <v>95.58</v>
      </c>
      <c r="M5" s="8">
        <v>97.4</v>
      </c>
      <c r="N5" s="8">
        <v>98.44</v>
      </c>
      <c r="O5" s="8">
        <v>97.14</v>
      </c>
      <c r="P5" s="12">
        <v>96.36</v>
      </c>
      <c r="Q5" s="12">
        <v>96.36</v>
      </c>
      <c r="R5" s="12">
        <v>96.36</v>
      </c>
      <c r="S5" s="7">
        <v>95.84</v>
      </c>
      <c r="T5" s="9">
        <v>94.02</v>
      </c>
    </row>
    <row r="6" spans="1:20" ht="15">
      <c r="A6" s="14" t="s">
        <v>4</v>
      </c>
      <c r="B6" s="5">
        <v>1925535.31296</v>
      </c>
      <c r="C6" s="5">
        <v>484787.18594</v>
      </c>
      <c r="D6" s="13">
        <v>287.75272799999999</v>
      </c>
      <c r="E6" s="18">
        <v>22.082004999999999</v>
      </c>
      <c r="F6" s="18">
        <v>28.141974999999999</v>
      </c>
      <c r="G6" s="18">
        <v>0.48822900000000002</v>
      </c>
      <c r="H6" s="18">
        <v>24.529057999999999</v>
      </c>
      <c r="I6" s="18">
        <v>2.4116797399999998</v>
      </c>
      <c r="J6" s="8">
        <v>74.78</v>
      </c>
      <c r="K6" s="12" t="s">
        <v>38</v>
      </c>
      <c r="L6" s="8">
        <v>90.64</v>
      </c>
      <c r="M6" s="8">
        <v>92.72</v>
      </c>
      <c r="N6" s="8">
        <v>96.36</v>
      </c>
      <c r="O6" s="8">
        <v>95.06</v>
      </c>
      <c r="P6" s="12">
        <v>93.76</v>
      </c>
      <c r="Q6" s="12">
        <v>92.2</v>
      </c>
      <c r="R6" s="12">
        <v>90.12</v>
      </c>
      <c r="S6" s="7">
        <v>92.2</v>
      </c>
      <c r="T6" s="9">
        <v>88.56</v>
      </c>
    </row>
    <row r="7" spans="1:20" ht="15">
      <c r="A7" s="14" t="s">
        <v>5</v>
      </c>
      <c r="B7" s="5">
        <v>1925613.6907599999</v>
      </c>
      <c r="C7" s="5">
        <v>484955.71610999998</v>
      </c>
      <c r="D7" s="13">
        <v>273.53814999999997</v>
      </c>
      <c r="E7" s="17" t="s">
        <v>38</v>
      </c>
      <c r="F7" s="17" t="s">
        <v>38</v>
      </c>
      <c r="G7" s="17" t="s">
        <v>38</v>
      </c>
      <c r="H7" s="17" t="s">
        <v>38</v>
      </c>
      <c r="I7" s="17" t="s">
        <v>38</v>
      </c>
      <c r="J7" s="8">
        <v>92.98</v>
      </c>
      <c r="K7" s="12" t="s">
        <v>38</v>
      </c>
      <c r="L7" s="8">
        <v>99.22</v>
      </c>
      <c r="M7" s="8">
        <v>99.22</v>
      </c>
      <c r="N7" s="8">
        <v>100</v>
      </c>
      <c r="O7" s="8">
        <v>97.92</v>
      </c>
      <c r="P7" s="12">
        <v>100</v>
      </c>
      <c r="Q7" s="12">
        <v>99.22</v>
      </c>
      <c r="R7" s="12" t="s">
        <v>38</v>
      </c>
      <c r="S7" s="7">
        <v>99.48</v>
      </c>
      <c r="T7" s="9" t="s">
        <v>38</v>
      </c>
    </row>
    <row r="8" spans="1:20" ht="15">
      <c r="A8" s="14" t="s">
        <v>6</v>
      </c>
      <c r="B8" s="5">
        <v>1925639.8865700001</v>
      </c>
      <c r="C8" s="5">
        <v>484883.10307000001</v>
      </c>
      <c r="D8" s="13">
        <v>282.23270600000001</v>
      </c>
      <c r="E8" s="17" t="s">
        <v>38</v>
      </c>
      <c r="F8" s="17" t="s">
        <v>38</v>
      </c>
      <c r="G8" s="17" t="s">
        <v>38</v>
      </c>
      <c r="H8" s="17" t="s">
        <v>38</v>
      </c>
      <c r="I8" s="17" t="s">
        <v>38</v>
      </c>
      <c r="J8" s="8">
        <v>82.06</v>
      </c>
      <c r="K8" s="12" t="s">
        <v>38</v>
      </c>
      <c r="L8" s="8">
        <v>94.28</v>
      </c>
      <c r="M8" s="8">
        <v>96.36</v>
      </c>
      <c r="N8" s="8">
        <v>98.96</v>
      </c>
      <c r="O8" s="8">
        <v>94.8</v>
      </c>
      <c r="P8" s="12">
        <v>96.88</v>
      </c>
      <c r="Q8" s="12">
        <v>96.88</v>
      </c>
      <c r="R8" s="12" t="s">
        <v>38</v>
      </c>
      <c r="S8" s="7">
        <v>96.88</v>
      </c>
      <c r="T8" s="9" t="s">
        <v>38</v>
      </c>
    </row>
    <row r="9" spans="1:20" ht="15">
      <c r="A9" s="14" t="s">
        <v>7</v>
      </c>
      <c r="B9" s="5">
        <v>1925656.1513</v>
      </c>
      <c r="C9" s="5">
        <v>484849.60411999997</v>
      </c>
      <c r="D9" s="13">
        <v>286.541787</v>
      </c>
      <c r="E9" s="17" t="s">
        <v>38</v>
      </c>
      <c r="F9" s="17" t="s">
        <v>38</v>
      </c>
      <c r="G9" s="17" t="s">
        <v>38</v>
      </c>
      <c r="H9" s="17" t="s">
        <v>38</v>
      </c>
      <c r="I9" s="17" t="s">
        <v>38</v>
      </c>
      <c r="J9" s="8">
        <v>80.759999999999991</v>
      </c>
      <c r="K9" s="8">
        <v>87</v>
      </c>
      <c r="L9" s="8">
        <v>88.039999999999992</v>
      </c>
      <c r="M9" s="8">
        <v>90.38</v>
      </c>
      <c r="N9" s="8">
        <v>91.94</v>
      </c>
      <c r="O9" s="8">
        <v>91.42</v>
      </c>
      <c r="P9" s="12">
        <v>90.38</v>
      </c>
      <c r="Q9" s="12">
        <v>82.58</v>
      </c>
      <c r="R9" s="12" t="s">
        <v>38</v>
      </c>
      <c r="S9" s="7">
        <v>87.78</v>
      </c>
      <c r="T9" s="9" t="s">
        <v>38</v>
      </c>
    </row>
    <row r="10" spans="1:20" ht="15">
      <c r="A10" s="14" t="s">
        <v>8</v>
      </c>
      <c r="B10" s="5">
        <v>1925663.2904000001</v>
      </c>
      <c r="C10" s="5">
        <v>484831.86170000001</v>
      </c>
      <c r="D10" s="13">
        <v>288.87519200000003</v>
      </c>
      <c r="E10" s="17" t="s">
        <v>38</v>
      </c>
      <c r="F10" s="17" t="s">
        <v>38</v>
      </c>
      <c r="G10" s="17" t="s">
        <v>38</v>
      </c>
      <c r="H10" s="17" t="s">
        <v>38</v>
      </c>
      <c r="I10" s="17" t="s">
        <v>38</v>
      </c>
      <c r="J10" s="8">
        <v>92.2</v>
      </c>
      <c r="K10" s="8">
        <v>67.759999999999991</v>
      </c>
      <c r="L10" s="8">
        <v>86.48</v>
      </c>
      <c r="M10" s="8">
        <v>84.92</v>
      </c>
      <c r="N10" s="8">
        <v>95.58</v>
      </c>
      <c r="O10" s="8">
        <v>92.98</v>
      </c>
      <c r="P10" s="12">
        <v>91.94</v>
      </c>
      <c r="Q10" s="12">
        <v>92.72</v>
      </c>
      <c r="R10" s="12" t="s">
        <v>38</v>
      </c>
      <c r="S10" s="7">
        <v>90.38</v>
      </c>
      <c r="T10" s="9" t="s">
        <v>38</v>
      </c>
    </row>
    <row r="11" spans="1:20" ht="15">
      <c r="A11" s="14" t="s">
        <v>9</v>
      </c>
      <c r="B11" s="5">
        <v>1925669.98691</v>
      </c>
      <c r="C11" s="5">
        <v>484823.32071</v>
      </c>
      <c r="D11" s="13">
        <v>289.99623100000002</v>
      </c>
      <c r="E11" s="17" t="s">
        <v>38</v>
      </c>
      <c r="F11" s="17" t="s">
        <v>38</v>
      </c>
      <c r="G11" s="17" t="s">
        <v>38</v>
      </c>
      <c r="H11" s="17" t="s">
        <v>38</v>
      </c>
      <c r="I11" s="17" t="s">
        <v>38</v>
      </c>
      <c r="J11" s="8">
        <v>90.38</v>
      </c>
      <c r="K11" s="8">
        <v>88.3</v>
      </c>
      <c r="L11" s="8">
        <v>86.48</v>
      </c>
      <c r="M11" s="8">
        <v>93.5</v>
      </c>
      <c r="N11" s="8">
        <v>95.32</v>
      </c>
      <c r="O11" s="8">
        <v>91.42</v>
      </c>
      <c r="P11" s="12">
        <v>87.52</v>
      </c>
      <c r="Q11" s="12">
        <v>84.14</v>
      </c>
      <c r="R11" s="12" t="s">
        <v>38</v>
      </c>
      <c r="S11" s="7">
        <v>90.38</v>
      </c>
      <c r="T11" s="9" t="s">
        <v>38</v>
      </c>
    </row>
    <row r="12" spans="1:20" ht="15">
      <c r="A12" s="14">
        <v>1</v>
      </c>
      <c r="B12" s="5">
        <v>1924970.80687</v>
      </c>
      <c r="C12" s="5">
        <v>485007.36790999997</v>
      </c>
      <c r="D12" s="13">
        <v>260.82369399999999</v>
      </c>
      <c r="E12" s="17" t="s">
        <v>38</v>
      </c>
      <c r="F12" s="17" t="s">
        <v>38</v>
      </c>
      <c r="G12" s="17" t="s">
        <v>38</v>
      </c>
      <c r="H12" s="17" t="s">
        <v>38</v>
      </c>
      <c r="I12" s="17" t="s">
        <v>38</v>
      </c>
      <c r="J12" s="8">
        <v>95.06</v>
      </c>
      <c r="K12" s="8">
        <v>98.96</v>
      </c>
      <c r="L12" s="8">
        <v>98.96</v>
      </c>
      <c r="M12" s="8">
        <v>99.22</v>
      </c>
      <c r="N12" s="8">
        <v>98.7</v>
      </c>
      <c r="O12" s="8">
        <v>98.44</v>
      </c>
      <c r="P12" s="12">
        <v>99.22</v>
      </c>
      <c r="Q12" s="12">
        <v>98.96</v>
      </c>
      <c r="R12" s="12" t="s">
        <v>38</v>
      </c>
      <c r="S12" s="7">
        <v>99.74</v>
      </c>
      <c r="T12" s="9" t="s">
        <v>38</v>
      </c>
    </row>
    <row r="13" spans="1:20" ht="15">
      <c r="A13" s="14">
        <v>2</v>
      </c>
      <c r="B13" s="5">
        <v>1924958.16976</v>
      </c>
      <c r="C13" s="5">
        <v>484885.60634</v>
      </c>
      <c r="D13" s="13">
        <v>273.87776100000002</v>
      </c>
      <c r="E13" s="17" t="s">
        <v>38</v>
      </c>
      <c r="F13" s="17" t="s">
        <v>38</v>
      </c>
      <c r="G13" s="17" t="s">
        <v>38</v>
      </c>
      <c r="H13" s="17" t="s">
        <v>38</v>
      </c>
      <c r="I13" s="17" t="s">
        <v>38</v>
      </c>
      <c r="J13" s="8">
        <v>79.460000000000008</v>
      </c>
      <c r="K13" s="8">
        <v>92.72</v>
      </c>
      <c r="L13" s="8">
        <v>97.14</v>
      </c>
      <c r="M13" s="8">
        <v>95.84</v>
      </c>
      <c r="N13" s="8">
        <v>97.66</v>
      </c>
      <c r="O13" s="8">
        <v>96.1</v>
      </c>
      <c r="P13" s="12">
        <v>97.4</v>
      </c>
      <c r="Q13" s="12">
        <v>94.02</v>
      </c>
      <c r="R13" s="12" t="s">
        <v>38</v>
      </c>
      <c r="S13" s="7">
        <v>96.36</v>
      </c>
      <c r="T13" s="9" t="s">
        <v>38</v>
      </c>
    </row>
    <row r="14" spans="1:20" ht="15">
      <c r="A14" s="14">
        <v>3</v>
      </c>
      <c r="B14" s="5">
        <v>1924982.42267</v>
      </c>
      <c r="C14" s="5">
        <v>484776.61148000002</v>
      </c>
      <c r="D14" s="13">
        <v>282.70424100000002</v>
      </c>
      <c r="E14" s="17" t="s">
        <v>38</v>
      </c>
      <c r="F14" s="17" t="s">
        <v>38</v>
      </c>
      <c r="G14" s="17" t="s">
        <v>38</v>
      </c>
      <c r="H14" s="17" t="s">
        <v>38</v>
      </c>
      <c r="I14" s="17" t="s">
        <v>38</v>
      </c>
      <c r="J14" s="8">
        <v>89.86</v>
      </c>
      <c r="K14" s="12" t="s">
        <v>38</v>
      </c>
      <c r="L14" s="8">
        <v>98.18</v>
      </c>
      <c r="M14" s="8">
        <v>98.18</v>
      </c>
      <c r="N14" s="8">
        <v>99.74</v>
      </c>
      <c r="O14" s="8">
        <v>96.1</v>
      </c>
      <c r="P14" s="12">
        <v>98.44</v>
      </c>
      <c r="Q14" s="12">
        <v>97.92</v>
      </c>
      <c r="R14" s="12" t="s">
        <v>38</v>
      </c>
      <c r="S14" s="7">
        <v>98.7</v>
      </c>
      <c r="T14" s="9" t="s">
        <v>38</v>
      </c>
    </row>
    <row r="15" spans="1:20" ht="15">
      <c r="A15" s="14">
        <v>4</v>
      </c>
      <c r="B15" s="5">
        <v>1924919.3660299999</v>
      </c>
      <c r="C15" s="5">
        <v>484927.41531000001</v>
      </c>
      <c r="D15" s="13">
        <v>269.64574299999998</v>
      </c>
      <c r="E15" s="17" t="s">
        <v>38</v>
      </c>
      <c r="F15" s="17" t="s">
        <v>38</v>
      </c>
      <c r="G15" s="17" t="s">
        <v>38</v>
      </c>
      <c r="H15" s="17" t="s">
        <v>38</v>
      </c>
      <c r="I15" s="17" t="s">
        <v>38</v>
      </c>
      <c r="J15" s="8">
        <v>83.1</v>
      </c>
      <c r="K15" s="8">
        <v>93.5</v>
      </c>
      <c r="L15" s="8">
        <v>98.96</v>
      </c>
      <c r="M15" s="8">
        <v>97.66</v>
      </c>
      <c r="N15" s="8">
        <v>97.66</v>
      </c>
      <c r="O15" s="8">
        <v>94.54</v>
      </c>
      <c r="P15" s="12">
        <v>97.66</v>
      </c>
      <c r="Q15" s="12">
        <v>97.66</v>
      </c>
      <c r="R15" s="12" t="s">
        <v>38</v>
      </c>
      <c r="S15" s="7">
        <v>98.7</v>
      </c>
      <c r="T15" s="9" t="s">
        <v>38</v>
      </c>
    </row>
    <row r="16" spans="1:20" ht="15">
      <c r="A16" s="14">
        <v>5</v>
      </c>
      <c r="B16" s="5">
        <v>1924994.91542</v>
      </c>
      <c r="C16" s="5">
        <v>484842.96109</v>
      </c>
      <c r="D16" s="13">
        <v>278.27339699999999</v>
      </c>
      <c r="E16" s="17" t="s">
        <v>38</v>
      </c>
      <c r="F16" s="17" t="s">
        <v>38</v>
      </c>
      <c r="G16" s="17" t="s">
        <v>38</v>
      </c>
      <c r="H16" s="17" t="s">
        <v>38</v>
      </c>
      <c r="I16" s="17" t="s">
        <v>38</v>
      </c>
      <c r="J16" s="8">
        <v>83.88</v>
      </c>
      <c r="K16" s="12" t="s">
        <v>38</v>
      </c>
      <c r="L16" s="8">
        <v>96.62</v>
      </c>
      <c r="M16" s="8">
        <v>98.18</v>
      </c>
      <c r="N16" s="8">
        <v>98.44</v>
      </c>
      <c r="O16" s="8">
        <v>97.14</v>
      </c>
      <c r="P16" s="12">
        <v>97.4</v>
      </c>
      <c r="Q16" s="12">
        <v>96.88</v>
      </c>
      <c r="R16" s="12" t="s">
        <v>38</v>
      </c>
      <c r="S16" s="7">
        <v>97.4</v>
      </c>
      <c r="T16" s="9" t="s">
        <v>38</v>
      </c>
    </row>
    <row r="17" spans="1:20" ht="15">
      <c r="A17" s="14">
        <v>6</v>
      </c>
      <c r="B17" s="5">
        <v>1925128.5828100001</v>
      </c>
      <c r="C17" s="5">
        <v>484974.68391999998</v>
      </c>
      <c r="D17" s="13">
        <v>262.07374199999998</v>
      </c>
      <c r="E17" s="18">
        <v>14.002973000000001</v>
      </c>
      <c r="F17" s="18">
        <v>93.906700000000001</v>
      </c>
      <c r="G17" s="18">
        <v>-6.8612999999999993E-2</v>
      </c>
      <c r="H17" s="18">
        <v>126.69154399999999</v>
      </c>
      <c r="I17" s="18">
        <v>7.0760564800000001</v>
      </c>
      <c r="J17" s="8">
        <v>89.08</v>
      </c>
      <c r="K17" s="8">
        <v>97.66</v>
      </c>
      <c r="L17" s="8">
        <v>97.66</v>
      </c>
      <c r="M17" s="8">
        <v>99.48</v>
      </c>
      <c r="N17" s="8">
        <v>98.44</v>
      </c>
      <c r="O17" s="8">
        <v>99.22</v>
      </c>
      <c r="P17" s="12">
        <v>98.44</v>
      </c>
      <c r="Q17" s="12">
        <v>98.96</v>
      </c>
      <c r="R17" s="12">
        <v>99.22</v>
      </c>
      <c r="S17" s="7">
        <v>98.96</v>
      </c>
      <c r="T17" s="9">
        <v>99.74</v>
      </c>
    </row>
    <row r="18" spans="1:20" ht="15">
      <c r="A18" s="14">
        <v>7</v>
      </c>
      <c r="B18" s="5">
        <v>1925112.7865800001</v>
      </c>
      <c r="C18" s="5">
        <v>484843.15071999998</v>
      </c>
      <c r="D18" s="13">
        <v>275.76109300000002</v>
      </c>
      <c r="E18" s="18">
        <v>40.922096000000003</v>
      </c>
      <c r="F18" s="18">
        <v>32.843933</v>
      </c>
      <c r="G18" s="18">
        <v>-9.5264000000000001E-2</v>
      </c>
      <c r="H18" s="18">
        <v>58.702339000000002</v>
      </c>
      <c r="I18" s="18">
        <v>2.3017177599999998</v>
      </c>
      <c r="J18" s="8">
        <v>91.68</v>
      </c>
      <c r="K18" s="8">
        <v>95.32</v>
      </c>
      <c r="L18" s="8">
        <v>97.66</v>
      </c>
      <c r="M18" s="8">
        <v>98.96</v>
      </c>
      <c r="N18" s="8">
        <v>99.74</v>
      </c>
      <c r="O18" s="8">
        <v>96.88</v>
      </c>
      <c r="P18" s="12">
        <v>98.18</v>
      </c>
      <c r="Q18" s="12">
        <v>98.96</v>
      </c>
      <c r="R18" s="12">
        <v>98.18</v>
      </c>
      <c r="S18" s="7">
        <v>98.96</v>
      </c>
      <c r="T18" s="9">
        <v>98.44</v>
      </c>
    </row>
    <row r="19" spans="1:20" ht="15">
      <c r="A19" s="14">
        <v>8</v>
      </c>
      <c r="B19" s="5">
        <v>1925114.17765</v>
      </c>
      <c r="C19" s="5">
        <v>484851.82228999998</v>
      </c>
      <c r="D19" s="13">
        <v>274.64775500000002</v>
      </c>
      <c r="E19" s="18">
        <v>42.517901999999999</v>
      </c>
      <c r="F19" s="18">
        <v>35.369014999999997</v>
      </c>
      <c r="G19" s="18">
        <v>0.121916</v>
      </c>
      <c r="H19" s="18">
        <v>49.751465000000003</v>
      </c>
      <c r="I19" s="18">
        <v>2.87845635</v>
      </c>
      <c r="J19" s="8">
        <v>91.94</v>
      </c>
      <c r="K19" s="8">
        <v>94.8</v>
      </c>
      <c r="L19" s="8">
        <v>97.4</v>
      </c>
      <c r="M19" s="8">
        <v>98.7</v>
      </c>
      <c r="N19" s="8">
        <v>99.48</v>
      </c>
      <c r="O19" s="8">
        <v>96.1</v>
      </c>
      <c r="P19" s="12">
        <v>98.18</v>
      </c>
      <c r="Q19" s="12">
        <v>98.7</v>
      </c>
      <c r="R19" s="12">
        <v>97.92</v>
      </c>
      <c r="S19" s="7">
        <v>98.96</v>
      </c>
      <c r="T19" s="9">
        <v>98.18</v>
      </c>
    </row>
    <row r="20" spans="1:20" ht="15">
      <c r="A20" s="14">
        <v>9</v>
      </c>
      <c r="B20" s="5">
        <v>1925125.3059100001</v>
      </c>
      <c r="C20" s="5">
        <v>484828.70159999997</v>
      </c>
      <c r="D20" s="13">
        <v>277.24788100000001</v>
      </c>
      <c r="E20" s="18">
        <v>38.663200000000003</v>
      </c>
      <c r="F20" s="18">
        <v>30.805921999999999</v>
      </c>
      <c r="G20" s="18">
        <v>-0.288628</v>
      </c>
      <c r="H20" s="18">
        <v>85.039344999999997</v>
      </c>
      <c r="I20" s="18">
        <v>3.0057544699999998</v>
      </c>
      <c r="J20" s="8">
        <v>87.26</v>
      </c>
      <c r="K20" s="8">
        <v>90.38</v>
      </c>
      <c r="L20" s="8">
        <v>97.14</v>
      </c>
      <c r="M20" s="8">
        <v>98.18</v>
      </c>
      <c r="N20" s="8">
        <v>98.7</v>
      </c>
      <c r="O20" s="8">
        <v>97.14</v>
      </c>
      <c r="P20" s="12">
        <v>98.44</v>
      </c>
      <c r="Q20" s="12">
        <v>96.88</v>
      </c>
      <c r="R20" s="12">
        <v>97.4</v>
      </c>
      <c r="S20" s="7">
        <v>97.92</v>
      </c>
      <c r="T20" s="9">
        <v>97.92</v>
      </c>
    </row>
    <row r="21" spans="1:20" ht="15">
      <c r="A21" s="14">
        <v>10</v>
      </c>
      <c r="B21" s="5">
        <v>1925078.1646</v>
      </c>
      <c r="C21" s="5">
        <v>484826.14944000001</v>
      </c>
      <c r="D21" s="13">
        <v>278.629929</v>
      </c>
      <c r="E21" s="18">
        <v>36.805267000000001</v>
      </c>
      <c r="F21" s="18">
        <v>23.135372</v>
      </c>
      <c r="G21" s="18">
        <v>0.29826799999999998</v>
      </c>
      <c r="H21" s="18">
        <v>64.019051000000005</v>
      </c>
      <c r="I21" s="18">
        <v>2.4796021000000001</v>
      </c>
      <c r="J21" s="8">
        <v>87.52</v>
      </c>
      <c r="K21" s="8">
        <v>89.08</v>
      </c>
      <c r="L21" s="8">
        <v>96.36</v>
      </c>
      <c r="M21" s="8">
        <v>98.44</v>
      </c>
      <c r="N21" s="8">
        <v>99.74</v>
      </c>
      <c r="O21" s="8">
        <v>97.14</v>
      </c>
      <c r="P21" s="12">
        <v>97.92</v>
      </c>
      <c r="Q21" s="12">
        <v>97.66</v>
      </c>
      <c r="R21" s="12">
        <v>97.66</v>
      </c>
      <c r="S21" s="7">
        <v>98.44</v>
      </c>
      <c r="T21" s="9">
        <v>95.58</v>
      </c>
    </row>
    <row r="22" spans="1:20" ht="15">
      <c r="A22" s="14">
        <v>11</v>
      </c>
      <c r="B22" s="5">
        <v>1925313.20055</v>
      </c>
      <c r="C22" s="5">
        <v>484950.03863000002</v>
      </c>
      <c r="D22" s="13">
        <v>264.78368699999999</v>
      </c>
      <c r="E22" s="18">
        <v>17.54476</v>
      </c>
      <c r="F22" s="18">
        <v>473.736694</v>
      </c>
      <c r="G22" s="18">
        <v>-0.44002999999999998</v>
      </c>
      <c r="H22" s="18">
        <v>113.306702</v>
      </c>
      <c r="I22" s="18">
        <v>6.0239563</v>
      </c>
      <c r="J22" s="8">
        <v>94.02</v>
      </c>
      <c r="K22" s="8">
        <v>96.62</v>
      </c>
      <c r="L22" s="8">
        <v>97.92</v>
      </c>
      <c r="M22" s="8">
        <v>100</v>
      </c>
      <c r="N22" s="8">
        <v>98.7</v>
      </c>
      <c r="O22" s="8">
        <v>97.14</v>
      </c>
      <c r="P22" s="12">
        <v>99.48</v>
      </c>
      <c r="Q22" s="12">
        <v>99.22</v>
      </c>
      <c r="R22" s="12">
        <v>98.96</v>
      </c>
      <c r="S22" s="7">
        <v>99.22</v>
      </c>
      <c r="T22" s="9">
        <v>99.22</v>
      </c>
    </row>
    <row r="23" spans="1:20" ht="15">
      <c r="A23" s="14">
        <v>12</v>
      </c>
      <c r="B23" s="5">
        <v>1925319.9279</v>
      </c>
      <c r="C23" s="5">
        <v>484853.42924000003</v>
      </c>
      <c r="D23" s="13">
        <v>271.497928</v>
      </c>
      <c r="E23" s="18">
        <v>25.426991000000001</v>
      </c>
      <c r="F23" s="18">
        <v>675.96905500000003</v>
      </c>
      <c r="G23" s="18">
        <v>-1.7623880000000001</v>
      </c>
      <c r="H23" s="18">
        <v>146.57762099999999</v>
      </c>
      <c r="I23" s="18">
        <v>5.1079311399999998</v>
      </c>
      <c r="J23" s="8">
        <v>78.680000000000007</v>
      </c>
      <c r="K23" s="8">
        <v>92.2</v>
      </c>
      <c r="L23" s="8">
        <v>96.36</v>
      </c>
      <c r="M23" s="8">
        <v>98.96</v>
      </c>
      <c r="N23" s="8">
        <v>98.96</v>
      </c>
      <c r="O23" s="8">
        <v>97.14</v>
      </c>
      <c r="P23" s="12">
        <v>97.66</v>
      </c>
      <c r="Q23" s="12">
        <v>96.88</v>
      </c>
      <c r="R23" s="12">
        <v>98.44</v>
      </c>
      <c r="S23" s="7">
        <v>99.22</v>
      </c>
      <c r="T23" s="9">
        <v>98.7</v>
      </c>
    </row>
    <row r="24" spans="1:20" ht="15">
      <c r="A24" s="14">
        <v>13</v>
      </c>
      <c r="B24" s="5">
        <v>1925376.44517</v>
      </c>
      <c r="C24" s="5">
        <v>484728.63880999997</v>
      </c>
      <c r="D24" s="13">
        <v>282.55737699999997</v>
      </c>
      <c r="E24" s="18">
        <v>26.513559000000001</v>
      </c>
      <c r="F24" s="18">
        <v>31.8689</v>
      </c>
      <c r="G24" s="18">
        <v>-1.573561</v>
      </c>
      <c r="H24" s="18">
        <v>74.023148000000006</v>
      </c>
      <c r="I24" s="18">
        <v>3.3696384400000001</v>
      </c>
      <c r="J24" s="8">
        <v>88.039999999999992</v>
      </c>
      <c r="K24" s="8">
        <v>89.6</v>
      </c>
      <c r="L24" s="8">
        <v>94.02</v>
      </c>
      <c r="M24" s="8">
        <v>93.5</v>
      </c>
      <c r="N24" s="8">
        <v>96.1</v>
      </c>
      <c r="O24" s="8">
        <v>94.54</v>
      </c>
      <c r="P24" s="12">
        <v>98.44</v>
      </c>
      <c r="Q24" s="12">
        <v>95.84</v>
      </c>
      <c r="R24" s="12">
        <v>96.88</v>
      </c>
      <c r="S24" s="7">
        <v>96.36</v>
      </c>
      <c r="T24" s="9">
        <v>92.2</v>
      </c>
    </row>
    <row r="25" spans="1:20" ht="15">
      <c r="A25" s="14">
        <v>14</v>
      </c>
      <c r="B25" s="5">
        <v>1925407.9687300001</v>
      </c>
      <c r="C25" s="5">
        <v>484683.96993000002</v>
      </c>
      <c r="D25" s="13">
        <v>286.22417799999999</v>
      </c>
      <c r="E25" s="18">
        <v>8.7723429999999993</v>
      </c>
      <c r="F25" s="18">
        <v>2.5020959999999999</v>
      </c>
      <c r="G25" s="18">
        <v>0.45080399999999998</v>
      </c>
      <c r="H25" s="18">
        <v>33.234549999999999</v>
      </c>
      <c r="I25" s="17">
        <v>1.1862459999999999</v>
      </c>
      <c r="J25" s="8">
        <v>86.48</v>
      </c>
      <c r="K25" s="12" t="s">
        <v>38</v>
      </c>
      <c r="L25" s="8">
        <v>95.84</v>
      </c>
      <c r="M25" s="8">
        <v>97.92</v>
      </c>
      <c r="N25" s="8">
        <v>99.48</v>
      </c>
      <c r="O25" s="8">
        <v>93.24</v>
      </c>
      <c r="P25" s="12">
        <v>98.44</v>
      </c>
      <c r="Q25" s="12">
        <v>97.66</v>
      </c>
      <c r="R25" s="12">
        <v>97.92</v>
      </c>
      <c r="S25" s="7">
        <v>98.7</v>
      </c>
      <c r="T25" s="9">
        <v>97.92</v>
      </c>
    </row>
    <row r="26" spans="1:20" ht="15">
      <c r="A26" s="14">
        <v>15</v>
      </c>
      <c r="B26" s="5">
        <v>1925573.44346</v>
      </c>
      <c r="C26" s="5">
        <v>485010.67401000002</v>
      </c>
      <c r="D26" s="13">
        <v>268.36423300000001</v>
      </c>
      <c r="E26" s="18">
        <v>3.754162</v>
      </c>
      <c r="F26" s="18">
        <v>23534.167969999999</v>
      </c>
      <c r="G26" s="18">
        <v>-1.3359669999999999</v>
      </c>
      <c r="H26" s="18">
        <v>134.85818499999999</v>
      </c>
      <c r="I26" s="18">
        <v>5.0698475800000002</v>
      </c>
      <c r="J26" s="8" t="s">
        <v>38</v>
      </c>
      <c r="K26" s="8" t="s">
        <v>38</v>
      </c>
      <c r="L26" s="8" t="s">
        <v>38</v>
      </c>
      <c r="M26" s="8" t="s">
        <v>38</v>
      </c>
      <c r="N26" s="8" t="s">
        <v>38</v>
      </c>
      <c r="O26" s="8" t="s">
        <v>38</v>
      </c>
      <c r="P26" s="8" t="s">
        <v>38</v>
      </c>
      <c r="Q26" s="8" t="s">
        <v>38</v>
      </c>
      <c r="R26" s="8" t="s">
        <v>38</v>
      </c>
      <c r="S26" s="7" t="s">
        <v>38</v>
      </c>
      <c r="T26" s="9" t="s">
        <v>38</v>
      </c>
    </row>
    <row r="27" spans="1:20" ht="15">
      <c r="A27" s="14" t="s">
        <v>10</v>
      </c>
      <c r="B27" s="5">
        <v>1925577.5333499999</v>
      </c>
      <c r="C27" s="5">
        <v>485008.25702000002</v>
      </c>
      <c r="D27" s="13">
        <v>268.46490999999997</v>
      </c>
      <c r="E27" s="18">
        <v>5.916925</v>
      </c>
      <c r="F27" s="18">
        <v>4047.6870119999999</v>
      </c>
      <c r="G27" s="18">
        <v>-0.64983800000000003</v>
      </c>
      <c r="H27" s="18">
        <v>136.12080399999999</v>
      </c>
      <c r="I27" s="18">
        <v>3.74387479</v>
      </c>
      <c r="J27" s="8">
        <v>89.6</v>
      </c>
      <c r="K27" s="8">
        <v>96.88</v>
      </c>
      <c r="L27" s="8">
        <v>97.66</v>
      </c>
      <c r="M27" s="8">
        <v>99.74</v>
      </c>
      <c r="N27" s="8">
        <v>99.74</v>
      </c>
      <c r="O27" s="8">
        <v>100</v>
      </c>
      <c r="P27" s="12">
        <v>97.14</v>
      </c>
      <c r="Q27" s="12">
        <v>100</v>
      </c>
      <c r="R27" s="12">
        <v>98.18</v>
      </c>
      <c r="S27" s="7">
        <v>99.48</v>
      </c>
      <c r="T27" s="9">
        <v>98.44</v>
      </c>
    </row>
    <row r="28" spans="1:20" ht="15">
      <c r="A28" s="14" t="s">
        <v>11</v>
      </c>
      <c r="B28" s="5">
        <v>1925571.48284</v>
      </c>
      <c r="C28" s="5">
        <v>485006.46337999997</v>
      </c>
      <c r="D28" s="13">
        <v>268.30750699999999</v>
      </c>
      <c r="E28" s="18">
        <v>5.3286490000000004</v>
      </c>
      <c r="F28" s="18">
        <v>10911.228520000001</v>
      </c>
      <c r="G28" s="18">
        <v>-0.62829000000000002</v>
      </c>
      <c r="H28" s="18">
        <v>133.342499</v>
      </c>
      <c r="I28" s="18">
        <v>4.0488572100000004</v>
      </c>
      <c r="J28" s="8">
        <v>89.6</v>
      </c>
      <c r="K28" s="8">
        <v>96.62</v>
      </c>
      <c r="L28" s="8">
        <v>94.54</v>
      </c>
      <c r="M28" s="8">
        <v>98.96</v>
      </c>
      <c r="N28" s="8">
        <v>98.96</v>
      </c>
      <c r="O28" s="8">
        <v>99.48</v>
      </c>
      <c r="P28" s="12">
        <v>97.92</v>
      </c>
      <c r="Q28" s="12">
        <v>97.4</v>
      </c>
      <c r="R28" s="12">
        <v>98.18</v>
      </c>
      <c r="S28" s="7">
        <v>98.96</v>
      </c>
      <c r="T28" s="9">
        <v>98.18</v>
      </c>
    </row>
    <row r="29" spans="1:20" ht="15">
      <c r="A29" s="14" t="s">
        <v>12</v>
      </c>
      <c r="B29" s="5">
        <v>1925569.5104</v>
      </c>
      <c r="C29" s="5">
        <v>485012.72386999999</v>
      </c>
      <c r="D29" s="13">
        <v>268.29167899999999</v>
      </c>
      <c r="E29" s="18">
        <v>5.3659499999999998</v>
      </c>
      <c r="F29" s="18">
        <v>9717.2851559999999</v>
      </c>
      <c r="G29" s="18">
        <v>-1.4119520000000001</v>
      </c>
      <c r="H29" s="18">
        <v>132.57872</v>
      </c>
      <c r="I29" s="18">
        <v>5.6556100799999998</v>
      </c>
      <c r="J29" s="8">
        <v>78.42</v>
      </c>
      <c r="K29" s="8">
        <v>94.54</v>
      </c>
      <c r="L29" s="8">
        <v>97.92</v>
      </c>
      <c r="M29" s="8">
        <v>98.96</v>
      </c>
      <c r="N29" s="8">
        <v>98.18</v>
      </c>
      <c r="O29" s="8">
        <v>97.92</v>
      </c>
      <c r="P29" s="12">
        <v>97.66</v>
      </c>
      <c r="Q29" s="12">
        <v>97.92</v>
      </c>
      <c r="R29" s="12">
        <v>98.18</v>
      </c>
      <c r="S29" s="7">
        <v>99.22</v>
      </c>
      <c r="T29" s="9">
        <v>97.66</v>
      </c>
    </row>
    <row r="30" spans="1:20" ht="15">
      <c r="A30" s="14" t="s">
        <v>13</v>
      </c>
      <c r="B30" s="5">
        <v>1925575.8125499999</v>
      </c>
      <c r="C30" s="5">
        <v>485014.77505</v>
      </c>
      <c r="D30" s="13">
        <v>268.371127</v>
      </c>
      <c r="E30" s="18">
        <v>4.2093420000000004</v>
      </c>
      <c r="F30" s="18">
        <v>14533.503909999999</v>
      </c>
      <c r="G30" s="18">
        <v>-1.2554460000000001</v>
      </c>
      <c r="H30" s="18">
        <v>136.234207</v>
      </c>
      <c r="I30" s="18">
        <v>5.6699276000000003</v>
      </c>
      <c r="J30" s="8">
        <v>84.66</v>
      </c>
      <c r="K30" s="8">
        <v>95.32</v>
      </c>
      <c r="L30" s="8">
        <v>97.14</v>
      </c>
      <c r="M30" s="8">
        <v>99.22</v>
      </c>
      <c r="N30" s="8">
        <v>98.96</v>
      </c>
      <c r="O30" s="8">
        <v>98.96</v>
      </c>
      <c r="P30" s="12">
        <v>97.92</v>
      </c>
      <c r="Q30" s="12">
        <v>97.66</v>
      </c>
      <c r="R30" s="12">
        <v>98.44</v>
      </c>
      <c r="S30" s="7">
        <v>98.18</v>
      </c>
      <c r="T30" s="9">
        <v>97.66</v>
      </c>
    </row>
    <row r="31" spans="1:20" ht="15">
      <c r="A31" s="14">
        <v>22</v>
      </c>
      <c r="B31" s="5">
        <v>1925718.0042000001</v>
      </c>
      <c r="C31" s="5">
        <v>485047.57682000002</v>
      </c>
      <c r="D31" s="13">
        <v>270.647087</v>
      </c>
      <c r="E31" s="18">
        <v>14.408835</v>
      </c>
      <c r="F31" s="18">
        <v>76.877121000000002</v>
      </c>
      <c r="G31" s="18">
        <v>-0.56421399999999999</v>
      </c>
      <c r="H31" s="18">
        <v>134.231888</v>
      </c>
      <c r="I31" s="18">
        <v>5.5795908000000001</v>
      </c>
      <c r="J31" s="8" t="s">
        <v>38</v>
      </c>
      <c r="K31" s="8" t="s">
        <v>38</v>
      </c>
      <c r="L31" s="8">
        <v>95.84</v>
      </c>
      <c r="M31" s="8">
        <v>88.3</v>
      </c>
      <c r="N31" s="8">
        <v>98.44</v>
      </c>
      <c r="O31" s="8">
        <v>99.74</v>
      </c>
      <c r="P31" s="12">
        <v>98.44</v>
      </c>
      <c r="Q31" s="12">
        <v>97.4</v>
      </c>
      <c r="R31" s="12">
        <v>96.62</v>
      </c>
      <c r="S31" s="7">
        <v>98.18</v>
      </c>
      <c r="T31" s="9">
        <v>95.84</v>
      </c>
    </row>
    <row r="32" spans="1:20" ht="15">
      <c r="A32" s="14">
        <v>23</v>
      </c>
      <c r="B32" s="5">
        <v>1925783.37283</v>
      </c>
      <c r="C32" s="5">
        <v>484908.73096999998</v>
      </c>
      <c r="D32" s="13">
        <v>284.54119300000002</v>
      </c>
      <c r="E32" s="17" t="s">
        <v>38</v>
      </c>
      <c r="F32" s="17" t="s">
        <v>38</v>
      </c>
      <c r="G32" s="17" t="s">
        <v>38</v>
      </c>
      <c r="H32" s="17" t="s">
        <v>38</v>
      </c>
      <c r="I32" s="17" t="s">
        <v>38</v>
      </c>
      <c r="J32" s="8">
        <v>84.4</v>
      </c>
      <c r="K32" s="8">
        <v>92.2</v>
      </c>
      <c r="L32" s="8">
        <v>96.62</v>
      </c>
      <c r="M32" s="8">
        <v>98.7</v>
      </c>
      <c r="N32" s="8">
        <v>98.96</v>
      </c>
      <c r="O32" s="8">
        <v>95.84</v>
      </c>
      <c r="P32" s="12">
        <v>98.7</v>
      </c>
      <c r="Q32" s="12">
        <v>97.66</v>
      </c>
      <c r="R32" s="12" t="s">
        <v>38</v>
      </c>
      <c r="S32" s="7">
        <v>98.44</v>
      </c>
      <c r="T32" s="9" t="s">
        <v>38</v>
      </c>
    </row>
    <row r="33" spans="1:20" ht="15">
      <c r="A33" s="14">
        <v>24</v>
      </c>
      <c r="B33" s="5">
        <v>1925815.0679800001</v>
      </c>
      <c r="C33" s="5">
        <v>484778.45497999998</v>
      </c>
      <c r="D33" s="13">
        <v>298.216297</v>
      </c>
      <c r="E33" s="17" t="s">
        <v>38</v>
      </c>
      <c r="F33" s="17" t="s">
        <v>38</v>
      </c>
      <c r="G33" s="17" t="s">
        <v>38</v>
      </c>
      <c r="H33" s="17" t="s">
        <v>38</v>
      </c>
      <c r="I33" s="17" t="s">
        <v>38</v>
      </c>
      <c r="J33" s="8" t="s">
        <v>38</v>
      </c>
      <c r="K33" s="8">
        <v>90.9</v>
      </c>
      <c r="L33" s="8">
        <v>90.38</v>
      </c>
      <c r="M33" s="8">
        <v>94.28</v>
      </c>
      <c r="N33" s="8">
        <v>95.58</v>
      </c>
      <c r="O33" s="8">
        <v>94.28</v>
      </c>
      <c r="P33" s="12">
        <v>95.58</v>
      </c>
      <c r="Q33" s="12">
        <v>94.8</v>
      </c>
      <c r="R33" s="12" t="s">
        <v>38</v>
      </c>
      <c r="S33" s="7">
        <v>96.36</v>
      </c>
      <c r="T33" s="9" t="s">
        <v>38</v>
      </c>
    </row>
    <row r="34" spans="1:20" ht="15">
      <c r="A34" s="14">
        <v>25</v>
      </c>
      <c r="B34" s="5">
        <v>1925739.1721399999</v>
      </c>
      <c r="C34" s="5">
        <v>484943.10590000002</v>
      </c>
      <c r="D34" s="13">
        <v>279.562297</v>
      </c>
      <c r="E34" s="17" t="s">
        <v>38</v>
      </c>
      <c r="F34" s="17" t="s">
        <v>38</v>
      </c>
      <c r="G34" s="17" t="s">
        <v>38</v>
      </c>
      <c r="H34" s="17" t="s">
        <v>38</v>
      </c>
      <c r="I34" s="17" t="s">
        <v>38</v>
      </c>
      <c r="J34" s="8">
        <v>87.26</v>
      </c>
      <c r="K34" s="8">
        <v>93.5</v>
      </c>
      <c r="L34" s="8">
        <v>96.88</v>
      </c>
      <c r="M34" s="8">
        <v>96.1</v>
      </c>
      <c r="N34" s="8">
        <v>98.96</v>
      </c>
      <c r="O34" s="8">
        <v>93.76</v>
      </c>
      <c r="P34" s="12">
        <v>98.96</v>
      </c>
      <c r="Q34" s="12">
        <v>96.1</v>
      </c>
      <c r="R34" s="12" t="s">
        <v>38</v>
      </c>
      <c r="S34" s="7">
        <v>99.22</v>
      </c>
      <c r="T34" s="9" t="s">
        <v>38</v>
      </c>
    </row>
    <row r="35" spans="1:20" ht="15">
      <c r="A35" s="14">
        <v>26</v>
      </c>
      <c r="B35" s="5">
        <v>1925829.0075900001</v>
      </c>
      <c r="C35" s="5">
        <v>484873.35243000003</v>
      </c>
      <c r="D35" s="13">
        <v>290.39248199999997</v>
      </c>
      <c r="E35" s="17" t="s">
        <v>38</v>
      </c>
      <c r="F35" s="17" t="s">
        <v>38</v>
      </c>
      <c r="G35" s="17" t="s">
        <v>38</v>
      </c>
      <c r="H35" s="17" t="s">
        <v>38</v>
      </c>
      <c r="I35" s="17" t="s">
        <v>38</v>
      </c>
      <c r="J35" s="8">
        <v>95.58</v>
      </c>
      <c r="K35" s="8">
        <v>98.44</v>
      </c>
      <c r="L35" s="8">
        <v>98.7</v>
      </c>
      <c r="M35" s="8">
        <v>99.22</v>
      </c>
      <c r="N35" s="8">
        <v>100</v>
      </c>
      <c r="O35" s="8">
        <v>97.66</v>
      </c>
      <c r="P35" s="12">
        <v>100</v>
      </c>
      <c r="Q35" s="12">
        <v>99.48</v>
      </c>
      <c r="R35" s="12" t="s">
        <v>38</v>
      </c>
      <c r="S35" s="7">
        <v>100</v>
      </c>
      <c r="T35" s="9" t="s">
        <v>38</v>
      </c>
    </row>
    <row r="36" spans="1:20" ht="15">
      <c r="A36" s="14">
        <v>27</v>
      </c>
      <c r="B36" s="5">
        <v>1925756.14454</v>
      </c>
      <c r="C36" s="5">
        <v>485057.00822999998</v>
      </c>
      <c r="D36" s="13">
        <v>271.10893800000002</v>
      </c>
      <c r="E36" s="18">
        <v>13.931126000000001</v>
      </c>
      <c r="F36" s="18">
        <v>106.965523</v>
      </c>
      <c r="G36" s="18">
        <v>-0.76891799999999999</v>
      </c>
      <c r="H36" s="18">
        <v>115.24921399999999</v>
      </c>
      <c r="I36" s="18">
        <v>6.0780043600000004</v>
      </c>
      <c r="J36" s="8" t="s">
        <v>38</v>
      </c>
      <c r="K36" s="8">
        <v>87.26</v>
      </c>
      <c r="L36" s="8">
        <v>97.92</v>
      </c>
      <c r="M36" s="8">
        <v>99.74</v>
      </c>
      <c r="N36" s="8">
        <v>98.44</v>
      </c>
      <c r="O36" s="8">
        <v>100</v>
      </c>
      <c r="P36" s="12">
        <v>94.8</v>
      </c>
      <c r="Q36" s="12">
        <v>89.08</v>
      </c>
      <c r="R36" s="12">
        <v>93.5</v>
      </c>
      <c r="S36" s="7">
        <v>97.4</v>
      </c>
      <c r="T36" s="9">
        <v>95.84</v>
      </c>
    </row>
    <row r="37" spans="1:20" ht="15">
      <c r="A37" s="14">
        <v>28</v>
      </c>
      <c r="B37" s="5">
        <v>1925810.44627</v>
      </c>
      <c r="C37" s="5">
        <v>485022.67233999999</v>
      </c>
      <c r="D37" s="13">
        <v>274.62673999999998</v>
      </c>
      <c r="E37" s="18">
        <v>22.474568999999999</v>
      </c>
      <c r="F37" s="18">
        <v>862.06854199999998</v>
      </c>
      <c r="G37" s="18">
        <v>-1.224259</v>
      </c>
      <c r="H37" s="18">
        <v>86.59581</v>
      </c>
      <c r="I37" s="18">
        <v>4.8848729100000003</v>
      </c>
      <c r="J37" s="8">
        <v>87.52</v>
      </c>
      <c r="K37" s="8">
        <v>95.32</v>
      </c>
      <c r="L37" s="8">
        <v>94.8</v>
      </c>
      <c r="M37" s="8">
        <v>96.62</v>
      </c>
      <c r="N37" s="8">
        <v>97.66</v>
      </c>
      <c r="O37" s="8">
        <v>94.8</v>
      </c>
      <c r="P37" s="12">
        <v>97.66</v>
      </c>
      <c r="Q37" s="12">
        <v>97.14</v>
      </c>
      <c r="R37" s="12">
        <v>96.88</v>
      </c>
      <c r="S37" s="7">
        <v>98.44</v>
      </c>
      <c r="T37" s="9">
        <v>98.18</v>
      </c>
    </row>
    <row r="38" spans="1:20" ht="15">
      <c r="A38" s="14">
        <v>29</v>
      </c>
      <c r="B38" s="5">
        <v>1925920.38372</v>
      </c>
      <c r="C38" s="5">
        <v>484927.28769000003</v>
      </c>
      <c r="D38" s="13">
        <v>287.06805100000003</v>
      </c>
      <c r="E38" s="18">
        <v>24.526198999999998</v>
      </c>
      <c r="F38" s="18">
        <v>289.63653599999998</v>
      </c>
      <c r="G38" s="18">
        <v>-0.49560100000000001</v>
      </c>
      <c r="H38" s="18">
        <v>59.187313000000003</v>
      </c>
      <c r="I38" s="18">
        <v>4.6615881899999998</v>
      </c>
      <c r="J38" s="8">
        <v>83.1</v>
      </c>
      <c r="K38" s="8">
        <v>92.46</v>
      </c>
      <c r="L38" s="8">
        <v>96.62</v>
      </c>
      <c r="M38" s="8">
        <v>97.92</v>
      </c>
      <c r="N38" s="8">
        <v>99.74</v>
      </c>
      <c r="O38" s="8">
        <v>93.24</v>
      </c>
      <c r="P38" s="12">
        <v>97.66</v>
      </c>
      <c r="Q38" s="12">
        <v>96.88</v>
      </c>
      <c r="R38" s="12">
        <v>96.36</v>
      </c>
      <c r="S38" s="7">
        <v>98.7</v>
      </c>
      <c r="T38" s="9">
        <v>95.84</v>
      </c>
    </row>
    <row r="39" spans="1:20" ht="15">
      <c r="A39" s="14">
        <v>30</v>
      </c>
      <c r="B39" s="5">
        <v>1926051.62525</v>
      </c>
      <c r="C39" s="5">
        <v>484813.30333999998</v>
      </c>
      <c r="D39" s="13">
        <v>299.52209699999997</v>
      </c>
      <c r="E39" s="16" t="s">
        <v>38</v>
      </c>
      <c r="F39" s="16" t="s">
        <v>38</v>
      </c>
      <c r="G39" s="16" t="s">
        <v>38</v>
      </c>
      <c r="H39" s="16" t="s">
        <v>38</v>
      </c>
      <c r="I39" s="16" t="s">
        <v>38</v>
      </c>
      <c r="J39" s="8" t="s">
        <v>38</v>
      </c>
      <c r="K39" s="8">
        <v>92.2</v>
      </c>
      <c r="L39" s="8">
        <v>94.02</v>
      </c>
      <c r="M39" s="8">
        <v>94.54</v>
      </c>
      <c r="N39" s="8">
        <v>98.7</v>
      </c>
      <c r="O39" s="8">
        <v>95.32</v>
      </c>
      <c r="P39" s="12">
        <v>95.32</v>
      </c>
      <c r="Q39" s="12">
        <v>96.36</v>
      </c>
      <c r="R39" s="12" t="s">
        <v>38</v>
      </c>
      <c r="S39" s="7">
        <v>96.1</v>
      </c>
      <c r="T39" s="9" t="s">
        <v>38</v>
      </c>
    </row>
    <row r="40" spans="1:20" ht="15">
      <c r="A40" s="14">
        <v>31</v>
      </c>
      <c r="B40" s="5">
        <v>1926045.40643</v>
      </c>
      <c r="C40" s="5">
        <v>485124.2745</v>
      </c>
      <c r="D40" s="13">
        <v>286.16206199999999</v>
      </c>
      <c r="E40" s="18">
        <v>38.014136999999998</v>
      </c>
      <c r="F40" s="18">
        <v>48.645645000000002</v>
      </c>
      <c r="G40" s="18">
        <v>0.39863500000000002</v>
      </c>
      <c r="H40" s="18">
        <v>68.461760999999996</v>
      </c>
      <c r="I40" s="18">
        <v>2.0775220399999998</v>
      </c>
      <c r="J40" s="8">
        <v>82.32</v>
      </c>
      <c r="K40" s="8">
        <v>91.68</v>
      </c>
      <c r="L40" s="8">
        <v>98.7</v>
      </c>
      <c r="M40" s="8">
        <v>97.4</v>
      </c>
      <c r="N40" s="8">
        <v>96.36</v>
      </c>
      <c r="O40" s="8">
        <v>96.62</v>
      </c>
      <c r="P40" s="12">
        <v>96.88</v>
      </c>
      <c r="Q40" s="12">
        <v>96.1</v>
      </c>
      <c r="R40" s="12">
        <v>90.12</v>
      </c>
      <c r="S40" s="7">
        <v>92.98</v>
      </c>
      <c r="T40" s="9">
        <v>93.5</v>
      </c>
    </row>
    <row r="41" spans="1:20" ht="15">
      <c r="A41" s="14">
        <v>32</v>
      </c>
      <c r="B41" s="5">
        <v>1926084.4513000001</v>
      </c>
      <c r="C41" s="5">
        <v>485250.98488</v>
      </c>
      <c r="D41" s="13">
        <v>278.95836100000002</v>
      </c>
      <c r="E41" s="18">
        <v>7.0141299999999998</v>
      </c>
      <c r="F41" s="18">
        <v>4667.5322269999997</v>
      </c>
      <c r="G41" s="18">
        <v>-1.6591849999999999</v>
      </c>
      <c r="H41" s="18">
        <v>101.824783</v>
      </c>
      <c r="I41" s="18">
        <v>4.7251262699999996</v>
      </c>
      <c r="J41" s="8">
        <v>84.4</v>
      </c>
      <c r="K41" s="8">
        <v>95.06</v>
      </c>
      <c r="L41" s="8">
        <v>98.18</v>
      </c>
      <c r="M41" s="8">
        <v>98.7</v>
      </c>
      <c r="N41" s="8">
        <v>98.44</v>
      </c>
      <c r="O41" s="8">
        <v>99.74</v>
      </c>
      <c r="P41" s="12">
        <v>98.96</v>
      </c>
      <c r="Q41" s="12">
        <v>97.92</v>
      </c>
      <c r="R41" s="12">
        <v>97.92</v>
      </c>
      <c r="S41" s="7">
        <v>99.22</v>
      </c>
      <c r="T41" s="9">
        <v>98.18</v>
      </c>
    </row>
    <row r="42" spans="1:20" ht="15">
      <c r="A42" s="14">
        <v>33</v>
      </c>
      <c r="B42" s="5">
        <v>1926134.80914</v>
      </c>
      <c r="C42" s="5">
        <v>485221.17161999998</v>
      </c>
      <c r="D42" s="13">
        <v>283.47722099999999</v>
      </c>
      <c r="E42" s="18" t="s">
        <v>38</v>
      </c>
      <c r="F42" s="18" t="s">
        <v>38</v>
      </c>
      <c r="G42" s="18" t="s">
        <v>38</v>
      </c>
      <c r="H42" s="18" t="s">
        <v>38</v>
      </c>
      <c r="I42" s="18" t="s">
        <v>38</v>
      </c>
      <c r="J42" s="8">
        <v>83.88</v>
      </c>
      <c r="K42" s="8">
        <v>97.4</v>
      </c>
      <c r="L42" s="8">
        <v>99.48</v>
      </c>
      <c r="M42" s="8">
        <v>99.74</v>
      </c>
      <c r="N42" s="8">
        <v>99.48</v>
      </c>
      <c r="O42" s="8">
        <v>99.74</v>
      </c>
      <c r="P42" s="12">
        <v>99.74</v>
      </c>
      <c r="Q42" s="12">
        <v>98.7</v>
      </c>
      <c r="R42" s="12" t="s">
        <v>38</v>
      </c>
      <c r="S42" s="7">
        <v>99.22</v>
      </c>
      <c r="T42" s="9" t="s">
        <v>38</v>
      </c>
    </row>
    <row r="43" spans="1:20" ht="15">
      <c r="A43" s="14">
        <v>34</v>
      </c>
      <c r="B43" s="5">
        <v>1926185.90976</v>
      </c>
      <c r="C43" s="5">
        <v>485204.96561000001</v>
      </c>
      <c r="D43" s="13">
        <v>287.90168399999999</v>
      </c>
      <c r="E43" s="18">
        <v>37.239220000000003</v>
      </c>
      <c r="F43" s="18">
        <v>32.937649</v>
      </c>
      <c r="G43" s="18">
        <v>-0.13042100000000001</v>
      </c>
      <c r="H43" s="18">
        <v>50.172688000000001</v>
      </c>
      <c r="I43" s="18">
        <v>2.3329667999999999</v>
      </c>
      <c r="J43" s="8">
        <v>82.32</v>
      </c>
      <c r="K43" s="8">
        <v>91.16</v>
      </c>
      <c r="L43" s="8">
        <v>94.8</v>
      </c>
      <c r="M43" s="8">
        <v>95.06</v>
      </c>
      <c r="N43" s="8">
        <v>97.92</v>
      </c>
      <c r="O43" s="8">
        <v>98.7</v>
      </c>
      <c r="P43" s="12">
        <v>96.1</v>
      </c>
      <c r="Q43" s="12">
        <v>95.06</v>
      </c>
      <c r="R43" s="12">
        <v>96.1</v>
      </c>
      <c r="S43" s="7">
        <v>97.4</v>
      </c>
      <c r="T43" s="9">
        <v>95.84</v>
      </c>
    </row>
    <row r="44" spans="1:20" ht="15">
      <c r="A44" s="14">
        <v>35</v>
      </c>
      <c r="B44" s="5">
        <v>1926263.4476600001</v>
      </c>
      <c r="C44" s="5">
        <v>485295.54187000002</v>
      </c>
      <c r="D44" s="13">
        <v>287.043611</v>
      </c>
      <c r="E44" s="17" t="s">
        <v>38</v>
      </c>
      <c r="F44" s="17" t="s">
        <v>38</v>
      </c>
      <c r="G44" s="17" t="s">
        <v>38</v>
      </c>
      <c r="H44" s="17" t="s">
        <v>38</v>
      </c>
      <c r="I44" s="17" t="s">
        <v>38</v>
      </c>
      <c r="J44" s="8" t="s">
        <v>38</v>
      </c>
      <c r="K44" s="8">
        <v>96.88</v>
      </c>
      <c r="L44" s="8">
        <v>97.4</v>
      </c>
      <c r="M44" s="8">
        <v>96.62</v>
      </c>
      <c r="N44" s="8">
        <v>98.18</v>
      </c>
      <c r="O44" s="8">
        <v>98.18</v>
      </c>
      <c r="P44" s="12">
        <v>97.92</v>
      </c>
      <c r="Q44" s="12">
        <v>97.92</v>
      </c>
      <c r="R44" s="12" t="s">
        <v>38</v>
      </c>
      <c r="S44" s="7">
        <v>97.66</v>
      </c>
      <c r="T44" s="9" t="s">
        <v>38</v>
      </c>
    </row>
    <row r="45" spans="1:20" ht="15">
      <c r="A45" s="14">
        <v>36</v>
      </c>
      <c r="B45" s="5">
        <v>1926341.5419900001</v>
      </c>
      <c r="C45" s="5">
        <v>485337.74192</v>
      </c>
      <c r="D45" s="13">
        <v>298.11719099999999</v>
      </c>
      <c r="E45" s="17" t="s">
        <v>38</v>
      </c>
      <c r="F45" s="17" t="s">
        <v>38</v>
      </c>
      <c r="G45" s="17" t="s">
        <v>38</v>
      </c>
      <c r="H45" s="17" t="s">
        <v>38</v>
      </c>
      <c r="I45" s="17" t="s">
        <v>38</v>
      </c>
      <c r="J45" s="8" t="s">
        <v>38</v>
      </c>
      <c r="K45" s="12" t="s">
        <v>38</v>
      </c>
      <c r="L45" s="8">
        <v>93.5</v>
      </c>
      <c r="M45" s="8" t="s">
        <v>38</v>
      </c>
      <c r="N45" s="8" t="s">
        <v>38</v>
      </c>
      <c r="O45" s="8">
        <v>94.54</v>
      </c>
      <c r="P45" s="12" t="s">
        <v>38</v>
      </c>
      <c r="Q45" s="12" t="s">
        <v>38</v>
      </c>
      <c r="R45" s="12" t="s">
        <v>38</v>
      </c>
      <c r="S45" s="7" t="s">
        <v>38</v>
      </c>
      <c r="T45" s="9" t="s">
        <v>38</v>
      </c>
    </row>
    <row r="46" spans="1:20" ht="15">
      <c r="A46" s="14">
        <v>37</v>
      </c>
      <c r="B46" s="5">
        <v>1924985.66708</v>
      </c>
      <c r="C46" s="5">
        <v>485035.77795999998</v>
      </c>
      <c r="D46" s="13">
        <v>260.15734300000003</v>
      </c>
      <c r="E46" s="17" t="s">
        <v>38</v>
      </c>
      <c r="F46" s="17" t="s">
        <v>38</v>
      </c>
      <c r="G46" s="17" t="s">
        <v>38</v>
      </c>
      <c r="H46" s="17" t="s">
        <v>38</v>
      </c>
      <c r="I46" s="17" t="s">
        <v>38</v>
      </c>
      <c r="J46" s="8">
        <v>87.78</v>
      </c>
      <c r="K46" s="12" t="s">
        <v>38</v>
      </c>
      <c r="L46" s="8">
        <v>98.96</v>
      </c>
      <c r="M46" s="8">
        <v>98.96</v>
      </c>
      <c r="N46" s="8">
        <v>98.96</v>
      </c>
      <c r="O46" s="8">
        <v>100</v>
      </c>
      <c r="P46" s="12">
        <v>98.44</v>
      </c>
      <c r="Q46" s="12">
        <v>98.96</v>
      </c>
      <c r="R46" s="12" t="s">
        <v>38</v>
      </c>
      <c r="S46" s="7">
        <v>99.48</v>
      </c>
      <c r="T46" s="9" t="s">
        <v>38</v>
      </c>
    </row>
    <row r="47" spans="1:20" ht="15">
      <c r="A47" s="14">
        <v>38</v>
      </c>
      <c r="B47" s="5">
        <v>1925003.2949999999</v>
      </c>
      <c r="C47" s="5">
        <v>485064.33302000002</v>
      </c>
      <c r="D47" s="13">
        <v>261.53733199999999</v>
      </c>
      <c r="E47" s="18">
        <v>20.341625000000001</v>
      </c>
      <c r="F47" s="18">
        <v>26.628655999999999</v>
      </c>
      <c r="G47" s="18">
        <v>-0.34249800000000002</v>
      </c>
      <c r="H47" s="18">
        <v>82.110602999999998</v>
      </c>
      <c r="I47" s="18">
        <v>6.0412797899999999</v>
      </c>
      <c r="J47" s="8">
        <v>88.82</v>
      </c>
      <c r="K47" s="8">
        <v>97.66</v>
      </c>
      <c r="L47" s="8">
        <v>99.74</v>
      </c>
      <c r="M47" s="8">
        <v>99.48</v>
      </c>
      <c r="N47" s="8">
        <v>98.96</v>
      </c>
      <c r="O47" s="8">
        <v>100</v>
      </c>
      <c r="P47" s="12">
        <v>98.96</v>
      </c>
      <c r="Q47" s="12">
        <v>99.74</v>
      </c>
      <c r="R47" s="12">
        <v>100</v>
      </c>
      <c r="S47" s="7">
        <v>99.74</v>
      </c>
      <c r="T47" s="9">
        <v>99.74</v>
      </c>
    </row>
    <row r="48" spans="1:20" ht="15">
      <c r="A48" s="14">
        <v>39</v>
      </c>
      <c r="B48" s="5">
        <v>1925146.0594800001</v>
      </c>
      <c r="C48" s="5">
        <v>485013.40727000003</v>
      </c>
      <c r="D48" s="13">
        <v>263.428425</v>
      </c>
      <c r="E48" s="17" t="s">
        <v>38</v>
      </c>
      <c r="F48" s="17" t="s">
        <v>38</v>
      </c>
      <c r="G48" s="17" t="s">
        <v>38</v>
      </c>
      <c r="H48" s="17" t="s">
        <v>38</v>
      </c>
      <c r="I48" s="17" t="s">
        <v>38</v>
      </c>
      <c r="J48" s="8">
        <v>84.92</v>
      </c>
      <c r="K48" s="8">
        <v>96.1</v>
      </c>
      <c r="L48" s="8">
        <v>98.18</v>
      </c>
      <c r="M48" s="8">
        <v>98.44</v>
      </c>
      <c r="N48" s="8">
        <v>98.96</v>
      </c>
      <c r="O48" s="8">
        <v>98.96</v>
      </c>
      <c r="P48" s="12">
        <v>98.7</v>
      </c>
      <c r="Q48" s="12">
        <v>98.18</v>
      </c>
      <c r="R48" s="12" t="s">
        <v>38</v>
      </c>
      <c r="S48" s="7">
        <v>99.74</v>
      </c>
      <c r="T48" s="9" t="s">
        <v>38</v>
      </c>
    </row>
    <row r="49" spans="1:20" ht="15">
      <c r="A49" s="14">
        <v>40</v>
      </c>
      <c r="B49" s="5">
        <v>1925129.9046499999</v>
      </c>
      <c r="C49" s="5">
        <v>485113.23745000002</v>
      </c>
      <c r="D49" s="13">
        <v>270.16271499999999</v>
      </c>
      <c r="E49" s="18">
        <v>20.536031999999999</v>
      </c>
      <c r="F49" s="18">
        <v>34.781241999999999</v>
      </c>
      <c r="G49" s="18">
        <v>0.12645200000000001</v>
      </c>
      <c r="H49" s="18">
        <v>29.617270000000001</v>
      </c>
      <c r="I49" s="18">
        <v>8.8848510000000006E-2</v>
      </c>
      <c r="J49" s="8">
        <v>78.680000000000007</v>
      </c>
      <c r="K49" s="12" t="s">
        <v>38</v>
      </c>
      <c r="L49" s="8">
        <v>93.76</v>
      </c>
      <c r="M49" s="8">
        <v>97.14</v>
      </c>
      <c r="N49" s="8">
        <v>96.88</v>
      </c>
      <c r="O49" s="8" t="s">
        <v>38</v>
      </c>
      <c r="P49" s="12">
        <v>97.4</v>
      </c>
      <c r="Q49" s="12">
        <v>95.58</v>
      </c>
      <c r="R49" s="12">
        <v>94.54</v>
      </c>
      <c r="S49" s="7">
        <v>96.62</v>
      </c>
      <c r="T49" s="9">
        <v>97.4</v>
      </c>
    </row>
    <row r="50" spans="1:20" ht="15">
      <c r="A50" s="14">
        <v>41</v>
      </c>
      <c r="B50" s="5">
        <v>1925257.86207</v>
      </c>
      <c r="C50" s="5">
        <v>485049.24578</v>
      </c>
      <c r="D50" s="13">
        <v>267.50976200000002</v>
      </c>
      <c r="E50" s="17" t="s">
        <v>38</v>
      </c>
      <c r="F50" s="17" t="s">
        <v>38</v>
      </c>
      <c r="G50" s="17" t="s">
        <v>38</v>
      </c>
      <c r="H50" s="17" t="s">
        <v>38</v>
      </c>
      <c r="I50" s="17" t="s">
        <v>38</v>
      </c>
      <c r="J50" s="8">
        <v>87</v>
      </c>
      <c r="K50" s="8">
        <v>97.4</v>
      </c>
      <c r="L50" s="8">
        <v>95.32</v>
      </c>
      <c r="M50" s="8">
        <v>98.18</v>
      </c>
      <c r="N50" s="8">
        <v>97.14</v>
      </c>
      <c r="O50" s="8">
        <v>96.1</v>
      </c>
      <c r="P50" s="12">
        <v>98.44</v>
      </c>
      <c r="Q50" s="12">
        <v>96.62</v>
      </c>
      <c r="R50" s="12" t="s">
        <v>38</v>
      </c>
      <c r="S50" s="7">
        <v>97.92</v>
      </c>
      <c r="T50" s="9" t="s">
        <v>38</v>
      </c>
    </row>
    <row r="51" spans="1:20" ht="15">
      <c r="A51" s="14">
        <v>42</v>
      </c>
      <c r="B51" s="5">
        <v>1925315.6510000001</v>
      </c>
      <c r="C51" s="5">
        <v>485152.86859999999</v>
      </c>
      <c r="D51" s="13">
        <v>276.60872999999998</v>
      </c>
      <c r="E51" s="17" t="s">
        <v>38</v>
      </c>
      <c r="F51" s="17" t="s">
        <v>38</v>
      </c>
      <c r="G51" s="17" t="s">
        <v>38</v>
      </c>
      <c r="H51" s="17" t="s">
        <v>38</v>
      </c>
      <c r="I51" s="17" t="s">
        <v>38</v>
      </c>
      <c r="J51" s="8" t="s">
        <v>38</v>
      </c>
      <c r="K51" s="8">
        <v>96.36</v>
      </c>
      <c r="L51" s="8">
        <v>98.18</v>
      </c>
      <c r="M51" s="8">
        <v>97.14</v>
      </c>
      <c r="N51" s="8">
        <v>97.4</v>
      </c>
      <c r="O51" s="8">
        <v>96.1</v>
      </c>
      <c r="P51" s="12">
        <v>97.4</v>
      </c>
      <c r="Q51" s="12">
        <v>98.7</v>
      </c>
      <c r="R51" s="12" t="s">
        <v>38</v>
      </c>
      <c r="S51" s="7">
        <v>97.66</v>
      </c>
      <c r="T51" s="9" t="s">
        <v>38</v>
      </c>
    </row>
    <row r="52" spans="1:20" ht="15">
      <c r="A52" s="14">
        <v>43</v>
      </c>
      <c r="B52" s="5">
        <v>1925254.18459</v>
      </c>
      <c r="C52" s="5">
        <v>485187.81932000001</v>
      </c>
      <c r="D52" s="13">
        <v>277.85211600000002</v>
      </c>
      <c r="E52" s="17" t="s">
        <v>38</v>
      </c>
      <c r="F52" s="17" t="s">
        <v>38</v>
      </c>
      <c r="G52" s="17" t="s">
        <v>38</v>
      </c>
      <c r="H52" s="17" t="s">
        <v>38</v>
      </c>
      <c r="I52" s="17" t="s">
        <v>38</v>
      </c>
      <c r="J52" s="8" t="s">
        <v>38</v>
      </c>
      <c r="K52" s="8">
        <v>95.32</v>
      </c>
      <c r="L52" s="8">
        <v>99.22</v>
      </c>
      <c r="M52" s="8">
        <v>96.36</v>
      </c>
      <c r="N52" s="8">
        <v>98.18</v>
      </c>
      <c r="O52" s="8">
        <v>94.54</v>
      </c>
      <c r="P52" s="12">
        <v>98.44</v>
      </c>
      <c r="Q52" s="12">
        <v>97.66</v>
      </c>
      <c r="R52" s="12" t="s">
        <v>38</v>
      </c>
      <c r="S52" s="7">
        <v>97.92</v>
      </c>
      <c r="T52" s="9" t="s">
        <v>38</v>
      </c>
    </row>
    <row r="53" spans="1:20" ht="15">
      <c r="A53" s="14">
        <v>44</v>
      </c>
      <c r="B53" s="5">
        <v>1925243.6409700001</v>
      </c>
      <c r="C53" s="5">
        <v>485242.32118000003</v>
      </c>
      <c r="D53" s="13">
        <v>279.14434299999999</v>
      </c>
      <c r="E53" s="18">
        <v>16.229541999999999</v>
      </c>
      <c r="F53" s="18">
        <v>19.136641000000001</v>
      </c>
      <c r="G53" s="18">
        <v>0.17124900000000001</v>
      </c>
      <c r="H53" s="18">
        <v>37.979145000000003</v>
      </c>
      <c r="I53" s="18">
        <v>1.97154915</v>
      </c>
      <c r="J53" s="8">
        <v>90.64</v>
      </c>
      <c r="K53" s="8">
        <v>96.36</v>
      </c>
      <c r="L53" s="8">
        <v>97.4</v>
      </c>
      <c r="M53" s="8">
        <v>97.4</v>
      </c>
      <c r="N53" s="8">
        <v>96.62</v>
      </c>
      <c r="O53" s="8">
        <v>95.06</v>
      </c>
      <c r="P53" s="12">
        <v>97.66</v>
      </c>
      <c r="Q53" s="12">
        <v>98.96</v>
      </c>
      <c r="R53" s="12">
        <v>98.7</v>
      </c>
      <c r="S53" s="7">
        <v>98.7</v>
      </c>
      <c r="T53" s="9">
        <v>98.18</v>
      </c>
    </row>
    <row r="54" spans="1:20" ht="15">
      <c r="A54" s="14">
        <v>45</v>
      </c>
      <c r="B54" s="5">
        <v>1925395.3536</v>
      </c>
      <c r="C54" s="5">
        <v>485092.40743999998</v>
      </c>
      <c r="D54" s="13">
        <v>271.10157299999997</v>
      </c>
      <c r="E54" s="18">
        <v>21.073350999999999</v>
      </c>
      <c r="F54" s="18">
        <v>270.714539</v>
      </c>
      <c r="G54" s="18">
        <v>-1.5934079999999999</v>
      </c>
      <c r="H54" s="18">
        <v>99.304321000000002</v>
      </c>
      <c r="I54" s="18">
        <v>3.7026712900000001</v>
      </c>
      <c r="J54" s="8">
        <v>92.72</v>
      </c>
      <c r="K54" s="8">
        <v>94.54</v>
      </c>
      <c r="L54" s="8">
        <v>95.84</v>
      </c>
      <c r="M54" s="8">
        <v>96.1</v>
      </c>
      <c r="N54" s="8">
        <v>96.36</v>
      </c>
      <c r="O54" s="8">
        <v>92.46</v>
      </c>
      <c r="P54" s="12">
        <v>95.06</v>
      </c>
      <c r="Q54" s="12">
        <v>95.06</v>
      </c>
      <c r="R54" s="12">
        <v>94.8</v>
      </c>
      <c r="S54" s="7">
        <v>95.06</v>
      </c>
      <c r="T54" s="9">
        <v>95.32</v>
      </c>
    </row>
    <row r="55" spans="1:20" ht="15">
      <c r="A55" s="14">
        <v>46</v>
      </c>
      <c r="B55" s="5">
        <v>1925408.2623600001</v>
      </c>
      <c r="C55" s="5">
        <v>485086.56459999998</v>
      </c>
      <c r="D55" s="13">
        <v>271.39160500000003</v>
      </c>
      <c r="E55" s="18">
        <v>22.804365000000001</v>
      </c>
      <c r="F55" s="18">
        <v>80.716025999999999</v>
      </c>
      <c r="G55" s="18">
        <v>-1.362619</v>
      </c>
      <c r="H55" s="18">
        <v>85.928023999999994</v>
      </c>
      <c r="I55" s="18">
        <v>2.7476079499999999</v>
      </c>
      <c r="J55" s="8">
        <v>94.8</v>
      </c>
      <c r="K55" s="8">
        <v>95.32</v>
      </c>
      <c r="L55" s="8">
        <v>94.02</v>
      </c>
      <c r="M55" s="8">
        <v>97.4</v>
      </c>
      <c r="N55" s="8">
        <v>98.18</v>
      </c>
      <c r="O55" s="8">
        <v>95.84</v>
      </c>
      <c r="P55" s="12">
        <v>97.92</v>
      </c>
      <c r="Q55" s="12">
        <v>97.92</v>
      </c>
      <c r="R55" s="12">
        <v>97.4</v>
      </c>
      <c r="S55" s="7">
        <v>98.96</v>
      </c>
      <c r="T55" s="9">
        <v>98.44</v>
      </c>
    </row>
    <row r="56" spans="1:20" ht="15">
      <c r="A56" s="14">
        <v>47</v>
      </c>
      <c r="B56" s="5">
        <v>1925435.69407</v>
      </c>
      <c r="C56" s="5">
        <v>485032.36556000001</v>
      </c>
      <c r="D56" s="13">
        <v>269.92851999999999</v>
      </c>
      <c r="E56" s="18">
        <v>27.267268999999999</v>
      </c>
      <c r="F56" s="18">
        <v>23.245716000000002</v>
      </c>
      <c r="G56" s="18">
        <v>0.64643600000000001</v>
      </c>
      <c r="H56" s="18">
        <v>85.209250999999995</v>
      </c>
      <c r="I56" s="18">
        <v>1.8677202500000001</v>
      </c>
      <c r="J56" s="8">
        <v>94.28</v>
      </c>
      <c r="K56" s="8">
        <v>95.06</v>
      </c>
      <c r="L56" s="8">
        <v>97.66</v>
      </c>
      <c r="M56" s="8">
        <v>99.22</v>
      </c>
      <c r="N56" s="8">
        <v>98.96</v>
      </c>
      <c r="O56" s="8">
        <v>98.44</v>
      </c>
      <c r="P56" s="12">
        <v>97.14</v>
      </c>
      <c r="Q56" s="12">
        <v>95.06</v>
      </c>
      <c r="R56" s="12">
        <v>96.36</v>
      </c>
      <c r="S56" s="7">
        <v>98.7</v>
      </c>
      <c r="T56" s="9">
        <v>98.18</v>
      </c>
    </row>
    <row r="57" spans="1:20" ht="15">
      <c r="A57" s="14">
        <v>48</v>
      </c>
      <c r="B57" s="5">
        <v>1925417.1865600001</v>
      </c>
      <c r="C57" s="5">
        <v>485158.61629999999</v>
      </c>
      <c r="D57" s="13">
        <v>277.95832999999999</v>
      </c>
      <c r="E57" s="17" t="s">
        <v>38</v>
      </c>
      <c r="F57" s="17" t="s">
        <v>38</v>
      </c>
      <c r="G57" s="17" t="s">
        <v>38</v>
      </c>
      <c r="H57" s="17" t="s">
        <v>38</v>
      </c>
      <c r="I57" s="17" t="s">
        <v>38</v>
      </c>
      <c r="J57" s="8" t="s">
        <v>38</v>
      </c>
      <c r="K57" s="8">
        <v>87.78</v>
      </c>
      <c r="L57" s="8">
        <v>92.98</v>
      </c>
      <c r="M57" s="8">
        <v>96.88</v>
      </c>
      <c r="N57" s="8">
        <v>96.36</v>
      </c>
      <c r="O57" s="8" t="s">
        <v>38</v>
      </c>
      <c r="P57" s="12">
        <v>94.54</v>
      </c>
      <c r="Q57" s="12">
        <v>91.68</v>
      </c>
      <c r="R57" s="12" t="s">
        <v>38</v>
      </c>
      <c r="S57" s="7">
        <v>94.02</v>
      </c>
      <c r="T57" s="9" t="s">
        <v>38</v>
      </c>
    </row>
    <row r="58" spans="1:20" ht="15">
      <c r="A58" s="14">
        <v>49</v>
      </c>
      <c r="B58" s="5">
        <v>1925406.04321</v>
      </c>
      <c r="C58" s="5">
        <v>485318.93716999999</v>
      </c>
      <c r="D58" s="13">
        <v>288.44021700000002</v>
      </c>
      <c r="E58" s="17" t="s">
        <v>38</v>
      </c>
      <c r="F58" s="17" t="s">
        <v>38</v>
      </c>
      <c r="G58" s="17" t="s">
        <v>38</v>
      </c>
      <c r="H58" s="17" t="s">
        <v>38</v>
      </c>
      <c r="I58" s="17" t="s">
        <v>38</v>
      </c>
      <c r="J58" s="8" t="s">
        <v>38</v>
      </c>
      <c r="K58" s="8">
        <v>95.58</v>
      </c>
      <c r="L58" s="8">
        <v>96.36</v>
      </c>
      <c r="M58" s="8">
        <v>95.58</v>
      </c>
      <c r="N58" s="8">
        <v>97.14</v>
      </c>
      <c r="O58" s="8" t="s">
        <v>38</v>
      </c>
      <c r="P58" s="12">
        <v>98.18</v>
      </c>
      <c r="Q58" s="12">
        <v>95.58</v>
      </c>
      <c r="R58" s="12" t="s">
        <v>38</v>
      </c>
      <c r="S58" s="7">
        <v>97.14</v>
      </c>
      <c r="T58" s="9">
        <v>97.92</v>
      </c>
    </row>
    <row r="59" spans="1:20" ht="15">
      <c r="A59" s="14">
        <v>50</v>
      </c>
      <c r="B59" s="5">
        <v>1925580.02547</v>
      </c>
      <c r="C59" s="5">
        <v>485098.52159999998</v>
      </c>
      <c r="D59" s="13">
        <v>272.98448200000001</v>
      </c>
      <c r="E59" s="17">
        <v>20.064858999999998</v>
      </c>
      <c r="F59" s="17">
        <v>195.60734600000001</v>
      </c>
      <c r="G59" s="17">
        <v>-0.90954599999999997</v>
      </c>
      <c r="H59" s="17">
        <v>210.26357999999999</v>
      </c>
      <c r="I59" s="17">
        <v>5.6437816600000001</v>
      </c>
      <c r="J59" s="8" t="s">
        <v>38</v>
      </c>
      <c r="K59" s="12" t="s">
        <v>38</v>
      </c>
      <c r="L59" s="8">
        <v>94.02</v>
      </c>
      <c r="M59" s="8">
        <v>94.28</v>
      </c>
      <c r="N59" s="8">
        <v>95.58</v>
      </c>
      <c r="O59" s="8">
        <v>95.32</v>
      </c>
      <c r="P59" s="12">
        <v>91.68</v>
      </c>
      <c r="Q59" s="12">
        <v>94.02</v>
      </c>
      <c r="R59" s="12" t="s">
        <v>38</v>
      </c>
      <c r="S59" s="7">
        <v>92.2</v>
      </c>
      <c r="T59" s="9">
        <v>93.5</v>
      </c>
    </row>
    <row r="60" spans="1:20" ht="15">
      <c r="A60" s="14">
        <v>51</v>
      </c>
      <c r="B60" s="5">
        <v>1925572.32601</v>
      </c>
      <c r="C60" s="5">
        <v>485129.83091999998</v>
      </c>
      <c r="D60" s="13">
        <v>274.50111299999998</v>
      </c>
      <c r="E60" s="18">
        <v>16.616876999999999</v>
      </c>
      <c r="F60" s="18">
        <v>261.50030500000003</v>
      </c>
      <c r="G60" s="18">
        <v>-1.218021</v>
      </c>
      <c r="H60" s="18">
        <v>107.854721</v>
      </c>
      <c r="I60" s="18">
        <v>3.66199136</v>
      </c>
      <c r="J60" s="8" t="s">
        <v>38</v>
      </c>
      <c r="K60" s="12" t="s">
        <v>38</v>
      </c>
      <c r="L60" s="8" t="s">
        <v>38</v>
      </c>
      <c r="M60" s="8" t="s">
        <v>38</v>
      </c>
      <c r="N60" s="8" t="s">
        <v>38</v>
      </c>
      <c r="O60" s="8" t="s">
        <v>38</v>
      </c>
      <c r="P60" s="12" t="s">
        <v>38</v>
      </c>
      <c r="Q60" s="12" t="s">
        <v>38</v>
      </c>
      <c r="R60" s="12" t="s">
        <v>38</v>
      </c>
      <c r="S60" s="7" t="s">
        <v>38</v>
      </c>
      <c r="T60" s="9" t="s">
        <v>38</v>
      </c>
    </row>
    <row r="61" spans="1:20" ht="15">
      <c r="A61" s="14" t="s">
        <v>14</v>
      </c>
      <c r="B61" s="5">
        <v>1925576.07174</v>
      </c>
      <c r="C61" s="5">
        <v>485132.8798</v>
      </c>
      <c r="D61" s="13">
        <v>274.64269999999999</v>
      </c>
      <c r="E61" s="18">
        <v>14.994785</v>
      </c>
      <c r="F61" s="18">
        <v>1098.9636230000001</v>
      </c>
      <c r="G61" s="18">
        <v>-1.483967</v>
      </c>
      <c r="H61" s="18">
        <v>104.347511</v>
      </c>
      <c r="I61" s="18">
        <v>3.9469757099999998</v>
      </c>
      <c r="J61" s="8">
        <v>91.68</v>
      </c>
      <c r="K61" s="8">
        <v>97.66</v>
      </c>
      <c r="L61" s="8">
        <v>97.92</v>
      </c>
      <c r="M61" s="8">
        <v>98.96</v>
      </c>
      <c r="N61" s="8">
        <v>98.7</v>
      </c>
      <c r="O61" s="8">
        <v>100</v>
      </c>
      <c r="P61" s="12">
        <v>97.66</v>
      </c>
      <c r="Q61" s="12">
        <v>98.18</v>
      </c>
      <c r="R61" s="12">
        <v>98.96</v>
      </c>
      <c r="S61" s="7">
        <v>99.48</v>
      </c>
      <c r="T61" s="9">
        <v>97.14</v>
      </c>
    </row>
    <row r="62" spans="1:20" ht="15">
      <c r="A62" s="14" t="s">
        <v>15</v>
      </c>
      <c r="B62" s="5">
        <v>1925574.9257499999</v>
      </c>
      <c r="C62" s="5">
        <v>485126.83814000001</v>
      </c>
      <c r="D62" s="13">
        <v>274.35259300000001</v>
      </c>
      <c r="E62" s="18">
        <v>15.772271999999999</v>
      </c>
      <c r="F62" s="18">
        <v>558.62780799999996</v>
      </c>
      <c r="G62" s="18">
        <v>-0.97305600000000003</v>
      </c>
      <c r="H62" s="18">
        <v>111.871223</v>
      </c>
      <c r="I62" s="18">
        <v>4.1842389100000004</v>
      </c>
      <c r="J62" s="8">
        <v>87.52</v>
      </c>
      <c r="K62" s="8">
        <v>97.4</v>
      </c>
      <c r="L62" s="8">
        <v>96.62</v>
      </c>
      <c r="M62" s="8">
        <v>98.18</v>
      </c>
      <c r="N62" s="8">
        <v>98.44</v>
      </c>
      <c r="O62" s="8">
        <v>99.22</v>
      </c>
      <c r="P62" s="12">
        <v>97.66</v>
      </c>
      <c r="Q62" s="12">
        <v>98.18</v>
      </c>
      <c r="R62" s="12">
        <v>97.92</v>
      </c>
      <c r="S62" s="7">
        <v>98.7</v>
      </c>
      <c r="T62" s="9">
        <v>98.44</v>
      </c>
    </row>
    <row r="63" spans="1:20" ht="15">
      <c r="A63" s="14" t="s">
        <v>16</v>
      </c>
      <c r="B63" s="5">
        <v>1925568.5238600001</v>
      </c>
      <c r="C63" s="5">
        <v>485127.09995</v>
      </c>
      <c r="D63" s="13">
        <v>274.51531499999999</v>
      </c>
      <c r="E63" s="18">
        <v>19.378844999999998</v>
      </c>
      <c r="F63" s="18">
        <v>29.308720000000001</v>
      </c>
      <c r="G63" s="18">
        <v>-0.88346199999999997</v>
      </c>
      <c r="H63" s="18">
        <v>108.999443</v>
      </c>
      <c r="I63" s="18">
        <v>3.1682913300000002</v>
      </c>
      <c r="J63" s="8">
        <v>92.72</v>
      </c>
      <c r="K63" s="8">
        <v>96.36</v>
      </c>
      <c r="L63" s="8">
        <v>99.22</v>
      </c>
      <c r="M63" s="8">
        <v>98.7</v>
      </c>
      <c r="N63" s="8">
        <v>98.18</v>
      </c>
      <c r="O63" s="8">
        <v>99.48</v>
      </c>
      <c r="P63" s="12">
        <v>97.92</v>
      </c>
      <c r="Q63" s="12">
        <v>97.66</v>
      </c>
      <c r="R63" s="12">
        <v>98.44</v>
      </c>
      <c r="S63" s="7">
        <v>98.7</v>
      </c>
      <c r="T63" s="9">
        <v>98.18</v>
      </c>
    </row>
    <row r="64" spans="1:20" ht="15">
      <c r="A64" s="14" t="s">
        <v>17</v>
      </c>
      <c r="B64" s="5">
        <v>1925569.6764100001</v>
      </c>
      <c r="C64" s="5">
        <v>485133.45426999999</v>
      </c>
      <c r="D64" s="13">
        <v>274.66833300000002</v>
      </c>
      <c r="E64" s="18">
        <v>18.213570000000001</v>
      </c>
      <c r="F64" s="18">
        <v>88.198639</v>
      </c>
      <c r="G64" s="18">
        <v>-1.3818980000000001</v>
      </c>
      <c r="H64" s="18">
        <v>105.85189099999999</v>
      </c>
      <c r="I64" s="18">
        <v>3.13546681</v>
      </c>
      <c r="J64" s="8">
        <v>94.8</v>
      </c>
      <c r="K64" s="8">
        <v>94.8</v>
      </c>
      <c r="L64" s="8">
        <v>97.66</v>
      </c>
      <c r="M64" s="8">
        <v>99.22</v>
      </c>
      <c r="N64" s="8">
        <v>98.44</v>
      </c>
      <c r="O64" s="8">
        <v>100</v>
      </c>
      <c r="P64" s="12">
        <v>96.36</v>
      </c>
      <c r="Q64" s="12">
        <v>98.18</v>
      </c>
      <c r="R64" s="12">
        <v>99.22</v>
      </c>
      <c r="S64" s="7">
        <v>98.7</v>
      </c>
      <c r="T64" s="9">
        <v>96.62</v>
      </c>
    </row>
    <row r="65" spans="1:20" ht="15">
      <c r="A65" s="14">
        <v>52</v>
      </c>
      <c r="B65" s="5">
        <v>1925571.8640699999</v>
      </c>
      <c r="C65" s="5">
        <v>485202.84029000002</v>
      </c>
      <c r="D65" s="13">
        <v>278.420771</v>
      </c>
      <c r="E65" s="18">
        <v>24.036328999999999</v>
      </c>
      <c r="F65" s="18">
        <v>669.79754600000001</v>
      </c>
      <c r="G65" s="18">
        <v>-2.1094219999999999</v>
      </c>
      <c r="H65" s="18">
        <v>123.499741</v>
      </c>
      <c r="I65" s="18">
        <v>3.7135314899999998</v>
      </c>
      <c r="J65" s="8">
        <v>95.58</v>
      </c>
      <c r="K65" s="8">
        <v>95.06</v>
      </c>
      <c r="L65" s="8">
        <v>95.32</v>
      </c>
      <c r="M65" s="8">
        <v>97.92</v>
      </c>
      <c r="N65" s="8">
        <v>97.4</v>
      </c>
      <c r="O65" s="8">
        <v>98.18</v>
      </c>
      <c r="P65" s="12">
        <v>97.14</v>
      </c>
      <c r="Q65" s="12">
        <v>96.88</v>
      </c>
      <c r="R65" s="12">
        <v>97.66</v>
      </c>
      <c r="S65" s="7">
        <v>98.18</v>
      </c>
      <c r="T65" s="9">
        <v>94.54</v>
      </c>
    </row>
    <row r="66" spans="1:20" ht="15">
      <c r="A66" s="14">
        <v>53</v>
      </c>
      <c r="B66" s="5">
        <v>1925577.5382699999</v>
      </c>
      <c r="C66" s="5">
        <v>485324.1911</v>
      </c>
      <c r="D66" s="13">
        <v>290.91191800000001</v>
      </c>
      <c r="E66" s="18">
        <v>35.342140000000001</v>
      </c>
      <c r="F66" s="18">
        <v>51.695709000000001</v>
      </c>
      <c r="G66" s="18">
        <v>-0.65550900000000001</v>
      </c>
      <c r="H66" s="18">
        <v>108.47496</v>
      </c>
      <c r="I66" s="18">
        <v>3.1271791499999999</v>
      </c>
      <c r="J66" s="8" t="s">
        <v>38</v>
      </c>
      <c r="K66" s="12" t="s">
        <v>38</v>
      </c>
      <c r="L66" s="8" t="s">
        <v>38</v>
      </c>
      <c r="M66" s="8" t="s">
        <v>38</v>
      </c>
      <c r="N66" s="8" t="s">
        <v>38</v>
      </c>
      <c r="O66" s="8" t="s">
        <v>38</v>
      </c>
      <c r="P66" s="12" t="s">
        <v>38</v>
      </c>
      <c r="Q66" s="12" t="s">
        <v>38</v>
      </c>
      <c r="R66" s="12" t="s">
        <v>38</v>
      </c>
      <c r="S66" s="7" t="s">
        <v>38</v>
      </c>
      <c r="T66" s="9" t="s">
        <v>38</v>
      </c>
    </row>
    <row r="67" spans="1:20" ht="15">
      <c r="A67" s="14" t="s">
        <v>18</v>
      </c>
      <c r="B67" s="5">
        <v>1925581.1704800001</v>
      </c>
      <c r="C67" s="5">
        <v>485326.28983999998</v>
      </c>
      <c r="D67" s="13">
        <v>291.18433199999998</v>
      </c>
      <c r="E67" s="18">
        <v>35.471316999999999</v>
      </c>
      <c r="F67" s="18">
        <v>47.901114999999997</v>
      </c>
      <c r="G67" s="18">
        <v>-0.546068</v>
      </c>
      <c r="H67" s="18">
        <v>108.028969</v>
      </c>
      <c r="I67" s="18">
        <v>3.03537941</v>
      </c>
      <c r="J67" s="8">
        <v>90.64</v>
      </c>
      <c r="K67" s="8">
        <v>93.76</v>
      </c>
      <c r="L67" s="8">
        <v>96.88</v>
      </c>
      <c r="M67" s="8">
        <v>97.4</v>
      </c>
      <c r="N67" s="8">
        <v>98.44</v>
      </c>
      <c r="O67" s="8">
        <v>99.22</v>
      </c>
      <c r="P67" s="12">
        <v>97.4</v>
      </c>
      <c r="Q67" s="12">
        <v>96.62</v>
      </c>
      <c r="R67" s="12">
        <v>96.36</v>
      </c>
      <c r="S67" s="7">
        <v>97.92</v>
      </c>
      <c r="T67" s="9">
        <v>96.88</v>
      </c>
    </row>
    <row r="68" spans="1:20" ht="15">
      <c r="A68" s="14" t="s">
        <v>19</v>
      </c>
      <c r="B68" s="5">
        <v>1925580.3939100001</v>
      </c>
      <c r="C68" s="5">
        <v>485320.69634999998</v>
      </c>
      <c r="D68" s="13">
        <v>290.57751300000001</v>
      </c>
      <c r="E68" s="18">
        <v>36.094012999999997</v>
      </c>
      <c r="F68" s="18">
        <v>54.467407000000001</v>
      </c>
      <c r="G68" s="18">
        <v>-0.91861899999999996</v>
      </c>
      <c r="H68" s="18">
        <v>114.745193</v>
      </c>
      <c r="I68" s="18">
        <v>3.18781209</v>
      </c>
      <c r="J68" s="8">
        <v>94.54</v>
      </c>
      <c r="K68" s="8">
        <v>98.18</v>
      </c>
      <c r="L68" s="8">
        <v>97.92</v>
      </c>
      <c r="M68" s="8">
        <v>98.44</v>
      </c>
      <c r="N68" s="8">
        <v>99.48</v>
      </c>
      <c r="O68" s="8">
        <v>99.22</v>
      </c>
      <c r="P68" s="12">
        <v>98.96</v>
      </c>
      <c r="Q68" s="12">
        <v>98.18</v>
      </c>
      <c r="R68" s="12">
        <v>98.18</v>
      </c>
      <c r="S68" s="7">
        <v>97.92</v>
      </c>
      <c r="T68" s="9">
        <v>98.18</v>
      </c>
    </row>
    <row r="69" spans="1:20" ht="15">
      <c r="A69" s="14" t="s">
        <v>20</v>
      </c>
      <c r="B69" s="5">
        <v>1925573.8030399999</v>
      </c>
      <c r="C69" s="5">
        <v>485320.64091000002</v>
      </c>
      <c r="D69" s="13">
        <v>290.41713900000002</v>
      </c>
      <c r="E69" s="18">
        <v>35.029193999999997</v>
      </c>
      <c r="F69" s="18">
        <v>55.642409999999998</v>
      </c>
      <c r="G69" s="18">
        <v>-0.79557</v>
      </c>
      <c r="H69" s="18">
        <v>109.94664</v>
      </c>
      <c r="I69" s="18">
        <v>3.1984403100000001</v>
      </c>
      <c r="J69" s="8">
        <v>93.76</v>
      </c>
      <c r="K69" s="8">
        <v>97.4</v>
      </c>
      <c r="L69" s="8">
        <v>97.66</v>
      </c>
      <c r="M69" s="8">
        <v>98.96</v>
      </c>
      <c r="N69" s="8">
        <v>99.48</v>
      </c>
      <c r="O69" s="8">
        <v>100</v>
      </c>
      <c r="P69" s="12">
        <v>96.88</v>
      </c>
      <c r="Q69" s="12">
        <v>98.96</v>
      </c>
      <c r="R69" s="12">
        <v>98.44</v>
      </c>
      <c r="S69" s="7">
        <v>98.7</v>
      </c>
      <c r="T69" s="9">
        <v>98.96</v>
      </c>
    </row>
    <row r="70" spans="1:20" ht="15">
      <c r="A70" s="14" t="s">
        <v>21</v>
      </c>
      <c r="B70" s="5">
        <v>1925574.4382100001</v>
      </c>
      <c r="C70" s="5">
        <v>485326.76621999999</v>
      </c>
      <c r="D70" s="13">
        <v>291.083461</v>
      </c>
      <c r="E70" s="18">
        <v>34.535446</v>
      </c>
      <c r="F70" s="18">
        <v>48.413634999999999</v>
      </c>
      <c r="G70" s="18">
        <v>-0.56874999999999998</v>
      </c>
      <c r="H70" s="18">
        <v>102.43124400000001</v>
      </c>
      <c r="I70" s="18">
        <v>2.9675536199999999</v>
      </c>
      <c r="J70" s="8">
        <v>92.98</v>
      </c>
      <c r="K70" s="8">
        <v>93.24</v>
      </c>
      <c r="L70" s="8">
        <v>98.44</v>
      </c>
      <c r="M70" s="8">
        <v>98.44</v>
      </c>
      <c r="N70" s="8">
        <v>98.7</v>
      </c>
      <c r="O70" s="8">
        <v>100</v>
      </c>
      <c r="P70" s="12">
        <v>97.92</v>
      </c>
      <c r="Q70" s="12">
        <v>98.18</v>
      </c>
      <c r="R70" s="12">
        <v>97.92</v>
      </c>
      <c r="S70" s="7">
        <v>98.44</v>
      </c>
      <c r="T70" s="9">
        <v>97.92</v>
      </c>
    </row>
    <row r="71" spans="1:20" ht="15">
      <c r="A71" s="14">
        <v>54</v>
      </c>
      <c r="B71" s="5">
        <v>1925567.6839600001</v>
      </c>
      <c r="C71" s="5">
        <v>485403.25851999997</v>
      </c>
      <c r="D71" s="13">
        <v>296.50715000000002</v>
      </c>
      <c r="E71" s="18">
        <v>15.442739</v>
      </c>
      <c r="F71" s="18">
        <v>6.2740520000000002</v>
      </c>
      <c r="G71" s="18">
        <v>0.17408399999999999</v>
      </c>
      <c r="H71" s="18">
        <v>42.560153999999997</v>
      </c>
      <c r="I71" s="18">
        <v>1.39018869</v>
      </c>
      <c r="J71" s="8" t="s">
        <v>38</v>
      </c>
      <c r="K71" s="8">
        <v>86.48</v>
      </c>
      <c r="L71" s="8">
        <v>84.66</v>
      </c>
      <c r="M71" s="8">
        <v>96.62</v>
      </c>
      <c r="N71" s="8">
        <v>89.6</v>
      </c>
      <c r="O71" s="8">
        <v>88.82</v>
      </c>
      <c r="P71" s="12">
        <v>98.18</v>
      </c>
      <c r="Q71" s="12">
        <v>86.74</v>
      </c>
      <c r="R71" s="12" t="s">
        <v>38</v>
      </c>
      <c r="S71" s="7">
        <v>93.24</v>
      </c>
      <c r="T71" s="9">
        <v>88.82</v>
      </c>
    </row>
    <row r="72" spans="1:20" ht="15">
      <c r="A72" s="14">
        <v>55</v>
      </c>
      <c r="B72" s="5">
        <v>1925593.42472</v>
      </c>
      <c r="C72" s="5">
        <v>485139.72034</v>
      </c>
      <c r="D72" s="13">
        <v>275.52876300000003</v>
      </c>
      <c r="E72" s="18">
        <v>26.353612999999999</v>
      </c>
      <c r="F72" s="18">
        <v>34.232460000000003</v>
      </c>
      <c r="G72" s="18">
        <v>-0.88516300000000003</v>
      </c>
      <c r="H72" s="18">
        <v>81.812408000000005</v>
      </c>
      <c r="I72" s="18">
        <v>2.8893075000000001</v>
      </c>
      <c r="J72" s="8" t="s">
        <v>38</v>
      </c>
      <c r="K72" s="12" t="s">
        <v>38</v>
      </c>
      <c r="L72" s="8" t="s">
        <v>38</v>
      </c>
      <c r="M72" s="8" t="s">
        <v>38</v>
      </c>
      <c r="N72" s="8" t="s">
        <v>38</v>
      </c>
      <c r="O72" s="8" t="s">
        <v>38</v>
      </c>
      <c r="P72" s="12" t="s">
        <v>38</v>
      </c>
      <c r="Q72" s="12" t="s">
        <v>38</v>
      </c>
      <c r="R72" s="12" t="s">
        <v>38</v>
      </c>
      <c r="S72" s="7" t="s">
        <v>38</v>
      </c>
      <c r="T72" s="9" t="s">
        <v>38</v>
      </c>
    </row>
    <row r="73" spans="1:20" ht="15">
      <c r="A73" s="14" t="s">
        <v>22</v>
      </c>
      <c r="B73" s="5">
        <v>1925596.8200600001</v>
      </c>
      <c r="C73" s="5">
        <v>485143.35878000001</v>
      </c>
      <c r="D73" s="13">
        <v>276.01785799999999</v>
      </c>
      <c r="E73" s="18">
        <v>29.759687</v>
      </c>
      <c r="F73" s="18">
        <v>30.423262000000001</v>
      </c>
      <c r="G73" s="18">
        <v>-0.78989900000000002</v>
      </c>
      <c r="H73" s="18">
        <v>74.321258999999998</v>
      </c>
      <c r="I73" s="18">
        <v>2.6405856600000002</v>
      </c>
      <c r="J73" s="8">
        <v>95.32</v>
      </c>
      <c r="K73" s="8">
        <v>96.36</v>
      </c>
      <c r="L73" s="8">
        <v>98.18</v>
      </c>
      <c r="M73" s="8">
        <v>98.96</v>
      </c>
      <c r="N73" s="8">
        <v>99.22</v>
      </c>
      <c r="O73" s="8">
        <v>99.22</v>
      </c>
      <c r="P73" s="12">
        <v>96.62</v>
      </c>
      <c r="Q73" s="12">
        <v>98.96</v>
      </c>
      <c r="R73" s="12">
        <v>97.92</v>
      </c>
      <c r="S73" s="7">
        <v>98.44</v>
      </c>
      <c r="T73" s="9">
        <v>98.96</v>
      </c>
    </row>
    <row r="74" spans="1:20" ht="15">
      <c r="A74" s="14" t="s">
        <v>23</v>
      </c>
      <c r="B74" s="5">
        <v>1925596.57531</v>
      </c>
      <c r="C74" s="5">
        <v>485136.49200000003</v>
      </c>
      <c r="D74" s="13">
        <v>275.46876099999997</v>
      </c>
      <c r="E74" s="18">
        <v>27.586089999999999</v>
      </c>
      <c r="F74" s="18">
        <v>33.724772999999999</v>
      </c>
      <c r="G74" s="18">
        <v>-0.84320200000000001</v>
      </c>
      <c r="H74" s="18">
        <v>75.810317999999995</v>
      </c>
      <c r="I74" s="18">
        <v>2.7611520299999999</v>
      </c>
      <c r="J74" s="8">
        <v>91.68</v>
      </c>
      <c r="K74" s="8">
        <v>94.8</v>
      </c>
      <c r="L74" s="8">
        <v>98.96</v>
      </c>
      <c r="M74" s="8">
        <v>98.18</v>
      </c>
      <c r="N74" s="8">
        <v>98.7</v>
      </c>
      <c r="O74" s="8">
        <v>100</v>
      </c>
      <c r="P74" s="12">
        <v>96.62</v>
      </c>
      <c r="Q74" s="12">
        <v>96.36</v>
      </c>
      <c r="R74" s="12">
        <v>97.66</v>
      </c>
      <c r="S74" s="7">
        <v>98.18</v>
      </c>
      <c r="T74" s="9">
        <v>95.58</v>
      </c>
    </row>
    <row r="75" spans="1:20" ht="15">
      <c r="A75" s="14" t="s">
        <v>24</v>
      </c>
      <c r="B75" s="5">
        <v>1925590.3249900001</v>
      </c>
      <c r="C75" s="5">
        <v>485136.47000999999</v>
      </c>
      <c r="D75" s="13">
        <v>275.13496199999997</v>
      </c>
      <c r="E75" s="18">
        <v>23.081067999999998</v>
      </c>
      <c r="F75" s="18">
        <v>49.462142999999998</v>
      </c>
      <c r="G75" s="18">
        <v>-0.85000600000000004</v>
      </c>
      <c r="H75" s="18">
        <v>88.107956000000001</v>
      </c>
      <c r="I75" s="18">
        <v>2.9997580099999999</v>
      </c>
      <c r="J75" s="8">
        <v>97.4</v>
      </c>
      <c r="K75" s="8">
        <v>96.62</v>
      </c>
      <c r="L75" s="8">
        <v>97.4</v>
      </c>
      <c r="M75" s="8">
        <v>98.44</v>
      </c>
      <c r="N75" s="8">
        <v>98.18</v>
      </c>
      <c r="O75" s="8">
        <v>98.96</v>
      </c>
      <c r="P75" s="12">
        <v>96.1</v>
      </c>
      <c r="Q75" s="12">
        <v>98.7</v>
      </c>
      <c r="R75" s="12">
        <v>98.7</v>
      </c>
      <c r="S75" s="7">
        <v>98.7</v>
      </c>
      <c r="T75" s="9">
        <v>95.84</v>
      </c>
    </row>
    <row r="76" spans="1:20" ht="15">
      <c r="A76" s="14" t="s">
        <v>25</v>
      </c>
      <c r="B76" s="5">
        <v>1925590.45098</v>
      </c>
      <c r="C76" s="5">
        <v>485142.10911000002</v>
      </c>
      <c r="D76" s="13">
        <v>275.541718</v>
      </c>
      <c r="E76" s="18">
        <v>25.005163</v>
      </c>
      <c r="F76" s="18">
        <v>38.669074999999999</v>
      </c>
      <c r="G76" s="18">
        <v>-0.67535500000000004</v>
      </c>
      <c r="H76" s="18">
        <v>86.972672000000003</v>
      </c>
      <c r="I76" s="18">
        <v>2.8700974000000001</v>
      </c>
      <c r="J76" s="8">
        <v>93.76</v>
      </c>
      <c r="K76" s="8">
        <v>96.36</v>
      </c>
      <c r="L76" s="8">
        <v>97.14</v>
      </c>
      <c r="M76" s="8">
        <v>98.7</v>
      </c>
      <c r="N76" s="8">
        <v>98.18</v>
      </c>
      <c r="O76" s="8">
        <v>99.48</v>
      </c>
      <c r="P76" s="12">
        <v>96.36</v>
      </c>
      <c r="Q76" s="12">
        <v>98.44</v>
      </c>
      <c r="R76" s="12">
        <v>96.88</v>
      </c>
      <c r="S76" s="7">
        <v>98.44</v>
      </c>
      <c r="T76" s="9">
        <v>97.14</v>
      </c>
    </row>
    <row r="77" spans="1:20" ht="15">
      <c r="A77" s="14">
        <v>56</v>
      </c>
      <c r="B77" s="5">
        <v>1925583.24988</v>
      </c>
      <c r="C77" s="5">
        <v>485205.11816999997</v>
      </c>
      <c r="D77" s="13">
        <v>279.11251499999997</v>
      </c>
      <c r="E77" s="17" t="s">
        <v>38</v>
      </c>
      <c r="F77" s="17" t="s">
        <v>38</v>
      </c>
      <c r="G77" s="17" t="s">
        <v>38</v>
      </c>
      <c r="H77" s="17" t="s">
        <v>38</v>
      </c>
      <c r="I77" s="17" t="s">
        <v>38</v>
      </c>
      <c r="J77" s="8" t="s">
        <v>38</v>
      </c>
      <c r="K77" s="8">
        <v>94.02</v>
      </c>
      <c r="L77" s="8">
        <v>96.1</v>
      </c>
      <c r="M77" s="8" t="s">
        <v>38</v>
      </c>
      <c r="N77" s="8">
        <v>97.14</v>
      </c>
      <c r="O77" s="8">
        <v>98.44</v>
      </c>
      <c r="P77" s="12">
        <v>97.14</v>
      </c>
      <c r="Q77" s="12">
        <v>95.58</v>
      </c>
      <c r="R77" s="12" t="s">
        <v>38</v>
      </c>
      <c r="S77" s="7">
        <v>97.4</v>
      </c>
      <c r="T77" s="9" t="s">
        <v>38</v>
      </c>
    </row>
    <row r="78" spans="1:20" ht="15">
      <c r="A78" s="14">
        <v>57</v>
      </c>
      <c r="B78" s="5">
        <v>1925546.0688499999</v>
      </c>
      <c r="C78" s="5">
        <v>485205.00563999999</v>
      </c>
      <c r="D78" s="13">
        <v>280.34529600000002</v>
      </c>
      <c r="E78" s="17" t="s">
        <v>38</v>
      </c>
      <c r="F78" s="17" t="s">
        <v>38</v>
      </c>
      <c r="G78" s="17" t="s">
        <v>38</v>
      </c>
      <c r="H78" s="17" t="s">
        <v>38</v>
      </c>
      <c r="I78" s="17" t="s">
        <v>38</v>
      </c>
      <c r="J78" s="8" t="s">
        <v>38</v>
      </c>
      <c r="K78" s="8">
        <v>97.4</v>
      </c>
      <c r="L78" s="8">
        <v>97.66</v>
      </c>
      <c r="M78" s="8">
        <v>98.7</v>
      </c>
      <c r="N78" s="8">
        <v>98.18</v>
      </c>
      <c r="O78" s="8">
        <v>100</v>
      </c>
      <c r="P78" s="12">
        <v>99.22</v>
      </c>
      <c r="Q78" s="12">
        <v>98.18</v>
      </c>
      <c r="R78" s="12" t="s">
        <v>38</v>
      </c>
      <c r="S78" s="7">
        <v>98.44</v>
      </c>
      <c r="T78" s="9" t="s">
        <v>38</v>
      </c>
    </row>
    <row r="79" spans="1:20" ht="15">
      <c r="A79" s="14">
        <v>58</v>
      </c>
      <c r="B79" s="5">
        <v>1925639.4889400001</v>
      </c>
      <c r="C79" s="5">
        <v>485191.20251999999</v>
      </c>
      <c r="D79" s="13">
        <v>282.32066700000001</v>
      </c>
      <c r="E79" s="17" t="s">
        <v>38</v>
      </c>
      <c r="F79" s="17" t="s">
        <v>38</v>
      </c>
      <c r="G79" s="17" t="s">
        <v>38</v>
      </c>
      <c r="H79" s="17" t="s">
        <v>38</v>
      </c>
      <c r="I79" s="17" t="s">
        <v>38</v>
      </c>
      <c r="J79" s="8" t="s">
        <v>38</v>
      </c>
      <c r="K79" s="12" t="s">
        <v>38</v>
      </c>
      <c r="L79" s="8" t="s">
        <v>38</v>
      </c>
      <c r="M79" s="8" t="s">
        <v>38</v>
      </c>
      <c r="N79" s="8" t="s">
        <v>38</v>
      </c>
      <c r="O79" s="8" t="s">
        <v>38</v>
      </c>
      <c r="P79" s="12" t="s">
        <v>38</v>
      </c>
      <c r="Q79" s="12" t="s">
        <v>38</v>
      </c>
      <c r="R79" s="12" t="s">
        <v>38</v>
      </c>
      <c r="S79" s="7" t="s">
        <v>38</v>
      </c>
      <c r="T79" s="9" t="s">
        <v>38</v>
      </c>
    </row>
    <row r="80" spans="1:20" ht="15">
      <c r="A80" s="14">
        <v>59</v>
      </c>
      <c r="B80" s="5">
        <v>1925731.6003</v>
      </c>
      <c r="C80" s="5">
        <v>485313.62024999998</v>
      </c>
      <c r="D80" s="13">
        <v>293.17400400000002</v>
      </c>
      <c r="E80" s="17" t="s">
        <v>38</v>
      </c>
      <c r="F80" s="17" t="s">
        <v>38</v>
      </c>
      <c r="G80" s="17" t="s">
        <v>38</v>
      </c>
      <c r="H80" s="17" t="s">
        <v>38</v>
      </c>
      <c r="I80" s="17" t="s">
        <v>38</v>
      </c>
      <c r="J80" s="8" t="s">
        <v>38</v>
      </c>
      <c r="K80" s="12" t="s">
        <v>38</v>
      </c>
      <c r="L80" s="8" t="s">
        <v>38</v>
      </c>
      <c r="M80" s="8" t="s">
        <v>38</v>
      </c>
      <c r="N80" s="8" t="s">
        <v>38</v>
      </c>
      <c r="O80" s="8" t="s">
        <v>38</v>
      </c>
      <c r="P80" s="12"/>
      <c r="Q80" s="12">
        <v>98.96</v>
      </c>
      <c r="R80" s="12" t="s">
        <v>38</v>
      </c>
      <c r="S80" s="7" t="s">
        <v>38</v>
      </c>
      <c r="T80" s="9" t="s">
        <v>38</v>
      </c>
    </row>
    <row r="81" spans="1:20" ht="15">
      <c r="A81" s="14">
        <v>60</v>
      </c>
      <c r="B81" s="5">
        <v>1925675.0072399999</v>
      </c>
      <c r="C81" s="5">
        <v>485152.92437999998</v>
      </c>
      <c r="D81" s="13">
        <v>279.67114199999997</v>
      </c>
      <c r="E81" s="18">
        <v>27.728891000000001</v>
      </c>
      <c r="F81" s="18">
        <v>66.501587000000001</v>
      </c>
      <c r="G81" s="18">
        <v>-7.0881E-2</v>
      </c>
      <c r="H81" s="18">
        <v>21.666409999999999</v>
      </c>
      <c r="I81" s="18">
        <v>4.2093739999999998E-2</v>
      </c>
      <c r="J81" s="8" t="s">
        <v>38</v>
      </c>
      <c r="K81" s="12" t="s">
        <v>38</v>
      </c>
      <c r="L81" s="8" t="s">
        <v>38</v>
      </c>
      <c r="M81" s="8" t="s">
        <v>38</v>
      </c>
      <c r="N81" s="8" t="s">
        <v>38</v>
      </c>
      <c r="O81" s="8" t="s">
        <v>38</v>
      </c>
      <c r="P81" s="12" t="s">
        <v>38</v>
      </c>
      <c r="Q81" s="12" t="s">
        <v>38</v>
      </c>
      <c r="R81" s="12" t="s">
        <v>38</v>
      </c>
      <c r="S81" s="7" t="s">
        <v>38</v>
      </c>
      <c r="T81" s="9" t="s">
        <v>38</v>
      </c>
    </row>
    <row r="82" spans="1:20" ht="15">
      <c r="A82" s="14" t="s">
        <v>26</v>
      </c>
      <c r="B82" s="5">
        <v>1925678.4681899999</v>
      </c>
      <c r="C82" s="5">
        <v>485155.74786</v>
      </c>
      <c r="D82" s="13">
        <v>279.93088699999998</v>
      </c>
      <c r="E82" s="18">
        <v>28.106203000000001</v>
      </c>
      <c r="F82" s="18">
        <v>67.114097999999998</v>
      </c>
      <c r="G82" s="18">
        <v>-0.25120300000000001</v>
      </c>
      <c r="H82" s="18">
        <v>21.609966</v>
      </c>
      <c r="I82" s="18">
        <v>8.8089000000000001E-2</v>
      </c>
      <c r="J82" s="8">
        <v>95.84</v>
      </c>
      <c r="K82" s="8">
        <v>96.36</v>
      </c>
      <c r="L82" s="8">
        <v>99.22</v>
      </c>
      <c r="M82" s="8">
        <v>96.88</v>
      </c>
      <c r="N82" s="8">
        <v>99.22</v>
      </c>
      <c r="O82" s="8" t="s">
        <v>38</v>
      </c>
      <c r="P82" s="12">
        <v>98.44</v>
      </c>
      <c r="Q82" s="12">
        <v>98.7</v>
      </c>
      <c r="R82" s="12">
        <v>97.66</v>
      </c>
      <c r="S82" s="7" t="s">
        <v>38</v>
      </c>
      <c r="T82" s="9">
        <v>98.44</v>
      </c>
    </row>
    <row r="83" spans="1:20" ht="15">
      <c r="A83" s="14" t="s">
        <v>27</v>
      </c>
      <c r="B83" s="5">
        <v>1925678.1365</v>
      </c>
      <c r="C83" s="5">
        <v>485149.47752999997</v>
      </c>
      <c r="D83" s="13">
        <v>279.439798</v>
      </c>
      <c r="E83" s="18">
        <v>27.843520999999999</v>
      </c>
      <c r="F83" s="18">
        <v>67.655120999999994</v>
      </c>
      <c r="G83" s="18">
        <v>8.0520999999999995E-2</v>
      </c>
      <c r="H83" s="18">
        <v>21.378140999999999</v>
      </c>
      <c r="I83" s="18">
        <v>9.8460510000000001E-2</v>
      </c>
      <c r="J83" s="8">
        <v>94.8</v>
      </c>
      <c r="K83" s="8">
        <v>97.66</v>
      </c>
      <c r="L83" s="8">
        <v>97.92</v>
      </c>
      <c r="M83" s="8">
        <v>98.7</v>
      </c>
      <c r="N83" s="8">
        <v>98.7</v>
      </c>
      <c r="O83" s="8" t="s">
        <v>38</v>
      </c>
      <c r="P83" s="12">
        <v>98.44</v>
      </c>
      <c r="Q83" s="12">
        <v>98.18</v>
      </c>
      <c r="R83" s="12">
        <v>97.14</v>
      </c>
      <c r="S83" s="7" t="s">
        <v>38</v>
      </c>
      <c r="T83" s="9">
        <v>96.62</v>
      </c>
    </row>
    <row r="84" spans="1:20" ht="15">
      <c r="A84" s="14" t="s">
        <v>28</v>
      </c>
      <c r="B84" s="5">
        <v>1925671.71328</v>
      </c>
      <c r="C84" s="5">
        <v>485149.93651999999</v>
      </c>
      <c r="D84" s="13">
        <v>279.41562199999998</v>
      </c>
      <c r="E84" s="18">
        <v>27.665914999999998</v>
      </c>
      <c r="F84" s="18">
        <v>64.718368999999996</v>
      </c>
      <c r="G84" s="18">
        <v>7.2014999999999996E-2</v>
      </c>
      <c r="H84" s="18">
        <v>21.892220999999999</v>
      </c>
      <c r="I84" s="18">
        <v>0.12232578</v>
      </c>
      <c r="J84" s="8">
        <v>95.32</v>
      </c>
      <c r="K84" s="8">
        <v>93.5</v>
      </c>
      <c r="L84" s="8">
        <v>96.36</v>
      </c>
      <c r="M84" s="8">
        <v>96.88</v>
      </c>
      <c r="N84" s="8">
        <v>96.62</v>
      </c>
      <c r="O84" s="8" t="s">
        <v>38</v>
      </c>
      <c r="P84" s="12">
        <v>94.54</v>
      </c>
      <c r="Q84" s="12">
        <v>96.88</v>
      </c>
      <c r="R84" s="12">
        <v>96.88</v>
      </c>
      <c r="S84" s="7" t="s">
        <v>38</v>
      </c>
      <c r="T84" s="9">
        <v>96.88</v>
      </c>
    </row>
    <row r="85" spans="1:20" ht="15">
      <c r="A85" s="14" t="s">
        <v>29</v>
      </c>
      <c r="B85" s="5">
        <v>1925672.2953000001</v>
      </c>
      <c r="C85" s="5">
        <v>485156.0123</v>
      </c>
      <c r="D85" s="13">
        <v>279.95972799999998</v>
      </c>
      <c r="E85" s="18">
        <v>27.987473000000001</v>
      </c>
      <c r="F85" s="18">
        <v>63.541114999999998</v>
      </c>
      <c r="G85" s="18">
        <v>-0.13212199999999999</v>
      </c>
      <c r="H85" s="18">
        <v>22.174296999999999</v>
      </c>
      <c r="I85" s="18">
        <v>8.3863099999999996E-2</v>
      </c>
      <c r="J85" s="8">
        <v>88.3</v>
      </c>
      <c r="K85" s="8">
        <v>94.28</v>
      </c>
      <c r="L85" s="8">
        <v>97.92</v>
      </c>
      <c r="M85" s="8">
        <v>97.92</v>
      </c>
      <c r="N85" s="8">
        <v>98.44</v>
      </c>
      <c r="O85" s="8" t="s">
        <v>38</v>
      </c>
      <c r="P85" s="12">
        <v>96.36</v>
      </c>
      <c r="Q85" s="12">
        <v>97.14</v>
      </c>
      <c r="R85" s="12">
        <v>98.7</v>
      </c>
      <c r="S85" s="7" t="s">
        <v>38</v>
      </c>
      <c r="T85" s="9">
        <v>96.62</v>
      </c>
    </row>
    <row r="86" spans="1:20" ht="15">
      <c r="A86" s="14">
        <v>61</v>
      </c>
      <c r="B86" s="5">
        <v>1925840.0876199999</v>
      </c>
      <c r="C86" s="5">
        <v>485130.86930000002</v>
      </c>
      <c r="D86" s="13">
        <v>273.40657399999998</v>
      </c>
      <c r="E86" s="18">
        <v>11.774096</v>
      </c>
      <c r="F86" s="18">
        <v>936.418274</v>
      </c>
      <c r="G86" s="18">
        <v>-1.738572</v>
      </c>
      <c r="H86" s="18">
        <v>197.94264200000001</v>
      </c>
      <c r="I86" s="18">
        <v>4.2358984900000003</v>
      </c>
      <c r="J86" s="8" t="s">
        <v>38</v>
      </c>
      <c r="K86" s="12" t="s">
        <v>38</v>
      </c>
      <c r="L86" s="8" t="s">
        <v>38</v>
      </c>
      <c r="M86" s="8" t="s">
        <v>38</v>
      </c>
      <c r="N86" s="8" t="s">
        <v>38</v>
      </c>
      <c r="O86" s="8" t="s">
        <v>38</v>
      </c>
      <c r="P86" s="12" t="s">
        <v>38</v>
      </c>
      <c r="Q86" s="12" t="s">
        <v>38</v>
      </c>
      <c r="R86" s="12" t="s">
        <v>38</v>
      </c>
      <c r="S86" s="7" t="s">
        <v>38</v>
      </c>
      <c r="T86" s="9" t="s">
        <v>38</v>
      </c>
    </row>
    <row r="87" spans="1:20" ht="15">
      <c r="A87" s="14" t="s">
        <v>30</v>
      </c>
      <c r="B87" s="5">
        <v>1925844.4038800001</v>
      </c>
      <c r="C87" s="5">
        <v>485128.70494000003</v>
      </c>
      <c r="D87" s="13">
        <v>273.388013</v>
      </c>
      <c r="E87" s="18">
        <v>8.0409659999999992</v>
      </c>
      <c r="F87" s="18">
        <v>8564.2666019999997</v>
      </c>
      <c r="G87" s="18">
        <v>-1.4051469999999999</v>
      </c>
      <c r="H87" s="18">
        <v>194.09045399999999</v>
      </c>
      <c r="I87" s="18">
        <v>4.9204378100000001</v>
      </c>
      <c r="J87" s="8">
        <v>78.94</v>
      </c>
      <c r="K87" s="8">
        <v>93.24</v>
      </c>
      <c r="L87" s="8">
        <v>96.36</v>
      </c>
      <c r="M87" s="8">
        <v>97.66</v>
      </c>
      <c r="N87" s="8">
        <v>96.36</v>
      </c>
      <c r="O87" s="8">
        <v>95.84</v>
      </c>
      <c r="P87" s="12">
        <v>97.4</v>
      </c>
      <c r="Q87" s="12">
        <v>93.76</v>
      </c>
      <c r="R87" s="12">
        <v>95.32</v>
      </c>
      <c r="S87" s="7">
        <v>97.4</v>
      </c>
      <c r="T87" s="9">
        <v>94.8</v>
      </c>
    </row>
    <row r="88" spans="1:20" ht="15">
      <c r="A88" s="14" t="s">
        <v>31</v>
      </c>
      <c r="B88" s="5">
        <v>1925838.4842699999</v>
      </c>
      <c r="C88" s="5">
        <v>485126.21740999998</v>
      </c>
      <c r="D88" s="13">
        <v>273.28325999999998</v>
      </c>
      <c r="E88" s="18">
        <v>8.7283670000000004</v>
      </c>
      <c r="F88" s="18">
        <v>5533.001953</v>
      </c>
      <c r="G88" s="18">
        <v>-1.905284</v>
      </c>
      <c r="H88" s="18">
        <v>196.68454</v>
      </c>
      <c r="I88" s="18">
        <v>5.2967300399999999</v>
      </c>
      <c r="J88" s="8">
        <v>84.92</v>
      </c>
      <c r="K88" s="8">
        <v>91.94</v>
      </c>
      <c r="L88" s="8">
        <v>97.92</v>
      </c>
      <c r="M88" s="8">
        <v>95.58</v>
      </c>
      <c r="N88" s="8">
        <v>96.75</v>
      </c>
      <c r="O88" s="8">
        <v>95.06</v>
      </c>
      <c r="P88" s="12">
        <v>96.1</v>
      </c>
      <c r="Q88" s="12">
        <v>96.36</v>
      </c>
      <c r="R88" s="12">
        <v>95.58</v>
      </c>
      <c r="S88" s="7">
        <v>96.62</v>
      </c>
      <c r="T88" s="9">
        <v>94.54</v>
      </c>
    </row>
    <row r="89" spans="1:20" ht="15">
      <c r="A89" s="14" t="s">
        <v>32</v>
      </c>
      <c r="B89" s="5">
        <v>1925835.68572</v>
      </c>
      <c r="C89" s="5">
        <v>485132.12388999999</v>
      </c>
      <c r="D89" s="13">
        <v>273.44588199999998</v>
      </c>
      <c r="E89" s="18">
        <v>16.476004</v>
      </c>
      <c r="F89" s="18">
        <v>93.308762000000002</v>
      </c>
      <c r="G89" s="18">
        <v>-1.2974079999999999</v>
      </c>
      <c r="H89" s="18">
        <v>193.87158199999999</v>
      </c>
      <c r="I89" s="18">
        <v>3.8964653</v>
      </c>
      <c r="J89" s="8">
        <v>77.38</v>
      </c>
      <c r="K89" s="8">
        <v>84.14</v>
      </c>
      <c r="L89" s="8">
        <v>95.32</v>
      </c>
      <c r="M89" s="8">
        <v>92.72</v>
      </c>
      <c r="N89" s="8">
        <v>96.62</v>
      </c>
      <c r="O89" s="8">
        <v>95.32</v>
      </c>
      <c r="P89" s="12">
        <v>93.76</v>
      </c>
      <c r="Q89" s="12">
        <v>92.2</v>
      </c>
      <c r="R89" s="12">
        <v>94.28</v>
      </c>
      <c r="S89" s="7">
        <v>94.8</v>
      </c>
      <c r="T89" s="9">
        <v>95.84</v>
      </c>
    </row>
    <row r="90" spans="1:20" ht="15">
      <c r="A90" s="14" t="s">
        <v>33</v>
      </c>
      <c r="B90" s="5">
        <v>1925841.46524</v>
      </c>
      <c r="C90" s="5">
        <v>485135.41554999998</v>
      </c>
      <c r="D90" s="13">
        <v>273.59004599999997</v>
      </c>
      <c r="E90" s="18">
        <v>15.239388</v>
      </c>
      <c r="F90" s="18">
        <v>112.05832700000001</v>
      </c>
      <c r="G90" s="18">
        <v>-1.5253620000000001</v>
      </c>
      <c r="H90" s="18">
        <v>194.07017500000001</v>
      </c>
      <c r="I90" s="18">
        <v>3.90155816</v>
      </c>
      <c r="J90" s="8">
        <v>91.68</v>
      </c>
      <c r="K90" s="8">
        <v>95.58</v>
      </c>
      <c r="L90" s="8">
        <v>96.62</v>
      </c>
      <c r="M90" s="8">
        <v>97.66</v>
      </c>
      <c r="N90" s="8">
        <v>97.79</v>
      </c>
      <c r="O90" s="8">
        <v>97.92</v>
      </c>
      <c r="P90" s="12">
        <v>93.76</v>
      </c>
      <c r="Q90" s="12">
        <v>93.76</v>
      </c>
      <c r="R90" s="12">
        <v>94.54</v>
      </c>
      <c r="S90" s="7">
        <v>95.32</v>
      </c>
      <c r="T90" s="9">
        <v>92.98</v>
      </c>
    </row>
    <row r="91" spans="1:20" ht="15">
      <c r="A91" s="14">
        <v>62</v>
      </c>
      <c r="B91" s="5">
        <v>1925808.4197</v>
      </c>
      <c r="C91" s="5">
        <v>485105.94972999999</v>
      </c>
      <c r="D91" s="13">
        <v>272.43719399999998</v>
      </c>
      <c r="E91" s="17" t="s">
        <v>38</v>
      </c>
      <c r="F91" s="17" t="s">
        <v>38</v>
      </c>
      <c r="G91" s="17" t="s">
        <v>38</v>
      </c>
      <c r="H91" s="17" t="s">
        <v>38</v>
      </c>
      <c r="I91" s="17" t="s">
        <v>38</v>
      </c>
      <c r="J91" s="8" t="s">
        <v>38</v>
      </c>
      <c r="K91" s="8">
        <v>84.4</v>
      </c>
      <c r="L91" s="8">
        <v>94.02</v>
      </c>
      <c r="M91" s="8">
        <v>92.2</v>
      </c>
      <c r="N91" s="8">
        <v>94.8</v>
      </c>
      <c r="O91" s="8">
        <v>91.68</v>
      </c>
      <c r="P91" s="12">
        <v>91.42</v>
      </c>
      <c r="Q91" s="12">
        <v>91.94</v>
      </c>
      <c r="R91" s="12" t="s">
        <v>38</v>
      </c>
      <c r="S91" s="7">
        <v>93.24</v>
      </c>
      <c r="T91" s="9" t="s">
        <v>38</v>
      </c>
    </row>
    <row r="92" spans="1:20" ht="15">
      <c r="A92" s="14">
        <v>63</v>
      </c>
      <c r="B92" s="5">
        <v>1925877.5176599999</v>
      </c>
      <c r="C92" s="5">
        <v>485152.28821999999</v>
      </c>
      <c r="D92" s="13">
        <v>274.04981500000002</v>
      </c>
      <c r="E92" s="17" t="s">
        <v>38</v>
      </c>
      <c r="F92" s="17" t="s">
        <v>38</v>
      </c>
      <c r="G92" s="17" t="s">
        <v>38</v>
      </c>
      <c r="H92" s="17" t="s">
        <v>38</v>
      </c>
      <c r="I92" s="17" t="s">
        <v>38</v>
      </c>
      <c r="J92" s="8">
        <v>92.72</v>
      </c>
      <c r="K92" s="8">
        <v>96.62</v>
      </c>
      <c r="L92" s="8">
        <v>97.92</v>
      </c>
      <c r="M92" s="8">
        <v>98.44</v>
      </c>
      <c r="N92" s="8">
        <v>98.31</v>
      </c>
      <c r="O92" s="8">
        <v>98.7</v>
      </c>
      <c r="P92" s="12">
        <v>98.96</v>
      </c>
      <c r="Q92" s="12">
        <v>97.4</v>
      </c>
      <c r="R92" s="12" t="s">
        <v>38</v>
      </c>
      <c r="S92" s="7">
        <v>98.7</v>
      </c>
      <c r="T92" s="9" t="s">
        <v>38</v>
      </c>
    </row>
    <row r="93" spans="1:20" ht="15">
      <c r="A93" s="14">
        <v>64</v>
      </c>
      <c r="B93" s="5">
        <v>1925862.2138799999</v>
      </c>
      <c r="C93" s="5">
        <v>485131.31517000002</v>
      </c>
      <c r="D93" s="13">
        <v>273.844223</v>
      </c>
      <c r="E93" s="17" t="s">
        <v>38</v>
      </c>
      <c r="F93" s="17" t="s">
        <v>38</v>
      </c>
      <c r="G93" s="17" t="s">
        <v>38</v>
      </c>
      <c r="H93" s="17" t="s">
        <v>38</v>
      </c>
      <c r="I93" s="17" t="s">
        <v>38</v>
      </c>
      <c r="J93" s="8">
        <v>79.72</v>
      </c>
      <c r="K93" s="8">
        <v>96.1</v>
      </c>
      <c r="L93" s="8">
        <v>99.22</v>
      </c>
      <c r="M93" s="8">
        <v>97.92</v>
      </c>
      <c r="N93" s="8">
        <v>98.18</v>
      </c>
      <c r="O93" s="8">
        <v>96.88</v>
      </c>
      <c r="P93" s="12">
        <v>98.18</v>
      </c>
      <c r="Q93" s="12">
        <v>97.92</v>
      </c>
      <c r="R93" s="12" t="s">
        <v>38</v>
      </c>
      <c r="S93" s="7">
        <v>98.44</v>
      </c>
      <c r="T93" s="9" t="s">
        <v>38</v>
      </c>
    </row>
    <row r="94" spans="1:20" ht="15">
      <c r="A94" s="14">
        <v>65</v>
      </c>
      <c r="B94" s="5">
        <v>1925919.7249199999</v>
      </c>
      <c r="C94" s="5">
        <v>485263.60000999999</v>
      </c>
      <c r="D94" s="13">
        <v>280.97541799999999</v>
      </c>
      <c r="E94" s="18">
        <v>37.672832</v>
      </c>
      <c r="F94" s="18">
        <v>103.050606</v>
      </c>
      <c r="G94" s="18">
        <v>-0.75304099999999996</v>
      </c>
      <c r="H94" s="18">
        <v>117.757355</v>
      </c>
      <c r="I94" s="18">
        <v>4.09343243</v>
      </c>
      <c r="J94" s="8">
        <v>88.3</v>
      </c>
      <c r="K94" s="8">
        <v>97.4</v>
      </c>
      <c r="L94" s="8">
        <v>95.58</v>
      </c>
      <c r="M94" s="8">
        <v>97.14</v>
      </c>
      <c r="N94" s="8">
        <v>98.96</v>
      </c>
      <c r="O94" s="8">
        <v>99.48</v>
      </c>
      <c r="P94" s="12">
        <v>97.14</v>
      </c>
      <c r="Q94" s="12">
        <v>96.88</v>
      </c>
      <c r="R94" s="12">
        <v>96.1</v>
      </c>
      <c r="S94" s="7">
        <v>98.96</v>
      </c>
      <c r="T94" s="9">
        <v>98.7</v>
      </c>
    </row>
    <row r="95" spans="1:20" ht="15">
      <c r="A95" s="14">
        <v>66</v>
      </c>
      <c r="B95" s="5">
        <v>1925886.5872</v>
      </c>
      <c r="C95" s="5">
        <v>485340.24192</v>
      </c>
      <c r="D95" s="13">
        <v>290.518686</v>
      </c>
      <c r="E95" s="17" t="s">
        <v>38</v>
      </c>
      <c r="F95" s="17" t="s">
        <v>38</v>
      </c>
      <c r="G95" s="17" t="s">
        <v>38</v>
      </c>
      <c r="H95" s="17" t="s">
        <v>38</v>
      </c>
      <c r="I95" s="17" t="s">
        <v>38</v>
      </c>
      <c r="J95" s="8">
        <v>95.32</v>
      </c>
      <c r="K95" s="8">
        <v>97.92</v>
      </c>
      <c r="L95" s="8">
        <v>99.22</v>
      </c>
      <c r="M95" s="8">
        <v>98.7</v>
      </c>
      <c r="N95" s="8">
        <v>98.7</v>
      </c>
      <c r="O95" s="8">
        <v>99.22</v>
      </c>
      <c r="P95" s="12">
        <v>98.7</v>
      </c>
      <c r="Q95" s="12">
        <v>98.96</v>
      </c>
      <c r="R95" s="12" t="s">
        <v>38</v>
      </c>
      <c r="S95" s="7">
        <v>99.22</v>
      </c>
      <c r="T95" s="9" t="s">
        <v>38</v>
      </c>
    </row>
    <row r="96" spans="1:20" ht="15">
      <c r="A96" s="14">
        <v>67</v>
      </c>
      <c r="B96" s="5">
        <v>1925883.03143</v>
      </c>
      <c r="C96" s="5">
        <v>485450.98054000002</v>
      </c>
      <c r="D96" s="13">
        <v>301.33524799999998</v>
      </c>
      <c r="E96" s="18">
        <v>8.8292889999999993</v>
      </c>
      <c r="F96" s="18">
        <v>1.238264</v>
      </c>
      <c r="G96" s="18">
        <v>0.88970000000000005</v>
      </c>
      <c r="H96" s="18">
        <v>43.151744999999998</v>
      </c>
      <c r="I96" s="17" t="s">
        <v>38</v>
      </c>
      <c r="J96" s="8">
        <v>96.88</v>
      </c>
      <c r="K96" s="8">
        <v>97.66</v>
      </c>
      <c r="L96" s="8">
        <v>99.48</v>
      </c>
      <c r="M96" s="8">
        <v>98.96</v>
      </c>
      <c r="N96" s="8">
        <v>99.48</v>
      </c>
      <c r="O96" s="8">
        <v>100</v>
      </c>
      <c r="P96" s="12">
        <v>99.74</v>
      </c>
      <c r="Q96" s="12">
        <v>98.96</v>
      </c>
      <c r="R96" s="12">
        <v>99.48</v>
      </c>
      <c r="S96" s="7">
        <v>99.48</v>
      </c>
      <c r="T96" s="9">
        <v>98.7</v>
      </c>
    </row>
    <row r="97" spans="1:20" ht="15">
      <c r="A97" s="14">
        <v>68</v>
      </c>
      <c r="B97" s="5">
        <v>1925874.35461</v>
      </c>
      <c r="C97" s="5">
        <v>485229.11057999998</v>
      </c>
      <c r="D97" s="13">
        <v>281.26123699999999</v>
      </c>
      <c r="E97" s="18">
        <v>42.222304999999999</v>
      </c>
      <c r="F97" s="18">
        <v>37.439297000000003</v>
      </c>
      <c r="G97" s="18">
        <v>0.29713400000000001</v>
      </c>
      <c r="H97" s="18">
        <v>53.317154000000002</v>
      </c>
      <c r="I97" s="18">
        <v>3.1775150299999999</v>
      </c>
      <c r="J97" s="8">
        <v>87</v>
      </c>
      <c r="K97" s="8">
        <v>95.84</v>
      </c>
      <c r="L97" s="8">
        <v>98.7</v>
      </c>
      <c r="M97" s="8">
        <v>99.48</v>
      </c>
      <c r="N97" s="8">
        <v>99.48</v>
      </c>
      <c r="O97" s="8">
        <v>99.74</v>
      </c>
      <c r="P97" s="12">
        <v>98.96</v>
      </c>
      <c r="Q97" s="12">
        <v>99.48</v>
      </c>
      <c r="R97" s="12">
        <v>99.48</v>
      </c>
      <c r="S97" s="7">
        <v>99.48</v>
      </c>
      <c r="T97" s="9">
        <v>98.44</v>
      </c>
    </row>
    <row r="98" spans="1:20" ht="15">
      <c r="A98" s="14">
        <v>69</v>
      </c>
      <c r="B98" s="5">
        <v>1926026.61054</v>
      </c>
      <c r="C98" s="5">
        <v>485283.46905999997</v>
      </c>
      <c r="D98" s="13">
        <v>281.68919799999998</v>
      </c>
      <c r="E98" s="17" t="s">
        <v>38</v>
      </c>
      <c r="F98" s="17" t="s">
        <v>38</v>
      </c>
      <c r="G98" s="17" t="s">
        <v>38</v>
      </c>
      <c r="H98" s="17" t="s">
        <v>38</v>
      </c>
      <c r="I98" s="17" t="s">
        <v>38</v>
      </c>
      <c r="J98" s="8">
        <v>84.66</v>
      </c>
      <c r="K98" s="8">
        <v>96.1</v>
      </c>
      <c r="L98" s="8">
        <v>98.7</v>
      </c>
      <c r="M98" s="8">
        <v>99.48</v>
      </c>
      <c r="N98" s="8">
        <v>99.22</v>
      </c>
      <c r="O98" s="8">
        <v>99.48</v>
      </c>
      <c r="P98" s="12">
        <v>98.18</v>
      </c>
      <c r="Q98" s="12">
        <v>97.4</v>
      </c>
      <c r="R98" s="12" t="s">
        <v>38</v>
      </c>
      <c r="S98" s="7">
        <v>98.44</v>
      </c>
      <c r="T98" s="9" t="s">
        <v>38</v>
      </c>
    </row>
    <row r="99" spans="1:20" ht="15">
      <c r="A99" s="14">
        <v>70</v>
      </c>
      <c r="B99" s="5">
        <v>1926144.2425200001</v>
      </c>
      <c r="C99" s="5">
        <v>485334.84461999999</v>
      </c>
      <c r="D99" s="13">
        <v>283.44011499999999</v>
      </c>
      <c r="E99" s="18">
        <v>24.122404</v>
      </c>
      <c r="F99" s="18">
        <v>293.444031</v>
      </c>
      <c r="G99" s="18">
        <v>-1.206113</v>
      </c>
      <c r="H99" s="18">
        <v>99.101348999999999</v>
      </c>
      <c r="I99" s="18">
        <v>4.5131001499999996</v>
      </c>
      <c r="J99" s="8">
        <v>81.8</v>
      </c>
      <c r="K99" s="8">
        <v>92.2</v>
      </c>
      <c r="L99" s="8">
        <v>96.1</v>
      </c>
      <c r="M99" s="8">
        <v>96.36</v>
      </c>
      <c r="N99" s="8">
        <v>98.18</v>
      </c>
      <c r="O99" s="8">
        <v>97.14</v>
      </c>
      <c r="P99" s="12">
        <v>96.88</v>
      </c>
      <c r="Q99" s="12">
        <v>97.14</v>
      </c>
      <c r="R99" s="12">
        <v>97.4</v>
      </c>
      <c r="S99" s="7">
        <v>98.18</v>
      </c>
      <c r="T99" s="9">
        <v>97.4</v>
      </c>
    </row>
    <row r="100" spans="1:20" ht="15">
      <c r="A100" s="14">
        <v>71</v>
      </c>
      <c r="B100" s="5">
        <v>1926004.54201</v>
      </c>
      <c r="C100" s="5">
        <v>485377.01186000003</v>
      </c>
      <c r="D100" s="13">
        <v>292.51194099999998</v>
      </c>
      <c r="E100" s="18">
        <v>40.329467999999999</v>
      </c>
      <c r="F100" s="18">
        <v>21.201902</v>
      </c>
      <c r="G100" s="18">
        <v>5.5571000000000002E-2</v>
      </c>
      <c r="H100" s="18">
        <v>77.172295000000005</v>
      </c>
      <c r="I100" s="18">
        <v>2.6069948699999999</v>
      </c>
      <c r="J100" s="8" t="s">
        <v>38</v>
      </c>
      <c r="K100" s="12" t="s">
        <v>38</v>
      </c>
      <c r="L100" s="8">
        <v>96.36</v>
      </c>
      <c r="M100" s="8" t="s">
        <v>38</v>
      </c>
      <c r="N100" s="8" t="s">
        <v>38</v>
      </c>
      <c r="O100" s="8" t="s">
        <v>38</v>
      </c>
      <c r="P100" s="12">
        <v>96.1</v>
      </c>
      <c r="Q100" s="12">
        <v>95.58</v>
      </c>
      <c r="R100" s="12" t="s">
        <v>38</v>
      </c>
      <c r="S100" s="7" t="s">
        <v>38</v>
      </c>
      <c r="T100" s="9" t="s">
        <v>38</v>
      </c>
    </row>
    <row r="101" spans="1:20" ht="15">
      <c r="A101" s="14">
        <v>72</v>
      </c>
      <c r="B101" s="5">
        <v>1926178.98884</v>
      </c>
      <c r="C101" s="5">
        <v>485440.46513999999</v>
      </c>
      <c r="D101" s="13">
        <v>294.548247</v>
      </c>
      <c r="E101" s="18">
        <v>34.980609999999999</v>
      </c>
      <c r="F101" s="18">
        <v>44.189171000000002</v>
      </c>
      <c r="G101" s="18">
        <v>-0.82959300000000002</v>
      </c>
      <c r="H101" s="18">
        <v>120.882896</v>
      </c>
      <c r="I101" s="18">
        <v>4.5201363600000004</v>
      </c>
      <c r="J101" s="8">
        <v>84.4</v>
      </c>
      <c r="K101" s="8">
        <v>97.66</v>
      </c>
      <c r="L101" s="8">
        <v>96.62</v>
      </c>
      <c r="M101" s="8">
        <v>94.8</v>
      </c>
      <c r="N101" s="8">
        <v>98.44</v>
      </c>
      <c r="O101" s="8">
        <v>99.74</v>
      </c>
      <c r="P101" s="12">
        <v>98.96</v>
      </c>
      <c r="Q101" s="12">
        <v>97.14</v>
      </c>
      <c r="R101" s="12">
        <v>98.18</v>
      </c>
      <c r="S101" s="7">
        <v>98.7</v>
      </c>
      <c r="T101" s="9">
        <v>95.84</v>
      </c>
    </row>
    <row r="102" spans="1:20" ht="15">
      <c r="A102" s="14">
        <v>73</v>
      </c>
      <c r="B102" s="5">
        <v>1926150.0548400001</v>
      </c>
      <c r="C102" s="5">
        <v>485389.26708000002</v>
      </c>
      <c r="D102" s="13">
        <v>287.94858499999998</v>
      </c>
      <c r="E102" s="18">
        <v>32.824466999999999</v>
      </c>
      <c r="F102" s="18">
        <v>148.94714400000001</v>
      </c>
      <c r="G102" s="18">
        <v>-1.5758289999999999</v>
      </c>
      <c r="H102" s="18">
        <v>99.764977000000002</v>
      </c>
      <c r="I102" s="18">
        <v>3.8056087500000002</v>
      </c>
      <c r="J102" s="8">
        <v>93.76</v>
      </c>
      <c r="K102" s="8">
        <v>97.4</v>
      </c>
      <c r="L102" s="8">
        <v>97.4</v>
      </c>
      <c r="M102" s="8">
        <v>96.88</v>
      </c>
      <c r="N102" s="8">
        <v>99.22</v>
      </c>
      <c r="O102" s="8">
        <v>98.44</v>
      </c>
      <c r="P102" s="12">
        <v>98.96</v>
      </c>
      <c r="Q102" s="12">
        <v>99.22</v>
      </c>
      <c r="R102" s="12">
        <v>98.96</v>
      </c>
      <c r="S102" s="7">
        <v>97.92</v>
      </c>
      <c r="T102" s="9">
        <v>98.96</v>
      </c>
    </row>
    <row r="103" spans="1:20" ht="15">
      <c r="A103" s="6">
        <v>74</v>
      </c>
      <c r="B103" s="5">
        <v>1925568.54748</v>
      </c>
      <c r="C103" s="5">
        <v>485367.50826999999</v>
      </c>
      <c r="D103" s="13">
        <v>294.69867900000003</v>
      </c>
      <c r="E103" s="18">
        <v>23.732664</v>
      </c>
      <c r="F103" s="18">
        <v>20.839821000000001</v>
      </c>
      <c r="G103" s="18">
        <v>0.46157799999999999</v>
      </c>
      <c r="H103" s="18">
        <v>55.055976999999999</v>
      </c>
      <c r="I103" s="18">
        <v>1.8110450499999999</v>
      </c>
      <c r="J103" s="8" t="s">
        <v>38</v>
      </c>
      <c r="K103" s="12" t="s">
        <v>38</v>
      </c>
      <c r="L103" s="8" t="s">
        <v>38</v>
      </c>
      <c r="M103" s="8" t="s">
        <v>38</v>
      </c>
      <c r="N103" s="8" t="s">
        <v>38</v>
      </c>
      <c r="O103" s="8" t="s">
        <v>38</v>
      </c>
      <c r="P103" s="12" t="s">
        <v>38</v>
      </c>
      <c r="Q103" s="12" t="s">
        <v>38</v>
      </c>
      <c r="R103" s="12" t="s">
        <v>38</v>
      </c>
      <c r="S103" s="7" t="s">
        <v>38</v>
      </c>
      <c r="T103" s="9" t="s">
        <v>38</v>
      </c>
    </row>
    <row r="104" spans="1:20" ht="15">
      <c r="A104" s="6" t="s">
        <v>35</v>
      </c>
      <c r="B104" s="5">
        <v>1925572.8191200001</v>
      </c>
      <c r="C104" s="5">
        <v>485369.80090999999</v>
      </c>
      <c r="D104" s="13">
        <v>294.96225800000002</v>
      </c>
      <c r="E104" s="18">
        <v>23.173960000000001</v>
      </c>
      <c r="F104" s="18">
        <v>20.611912</v>
      </c>
      <c r="G104" s="18">
        <v>0.42755500000000002</v>
      </c>
      <c r="H104" s="18">
        <v>56.216248</v>
      </c>
      <c r="I104" s="18">
        <v>1.76671636</v>
      </c>
      <c r="J104" s="8">
        <v>95.32</v>
      </c>
      <c r="K104" s="8">
        <v>96.62</v>
      </c>
      <c r="L104" s="8">
        <v>95.84</v>
      </c>
      <c r="M104" s="8">
        <v>97.14</v>
      </c>
      <c r="N104" s="8">
        <v>94.54</v>
      </c>
      <c r="O104" s="8">
        <v>98.7</v>
      </c>
      <c r="P104" s="12">
        <v>94.28</v>
      </c>
      <c r="Q104" s="12">
        <v>91.68</v>
      </c>
      <c r="R104" s="12">
        <v>94.54</v>
      </c>
      <c r="S104" s="7">
        <v>94.28</v>
      </c>
      <c r="T104" s="9">
        <v>91.68</v>
      </c>
    </row>
    <row r="105" spans="1:20" ht="15">
      <c r="A105" s="6" t="s">
        <v>34</v>
      </c>
      <c r="B105" s="5">
        <v>1925569.8191199999</v>
      </c>
      <c r="C105" s="5">
        <v>485365.68641999998</v>
      </c>
      <c r="D105" s="13">
        <v>294.69867900000003</v>
      </c>
      <c r="E105" s="16" t="s">
        <v>38</v>
      </c>
      <c r="F105" s="16" t="s">
        <v>38</v>
      </c>
      <c r="G105" s="16" t="s">
        <v>38</v>
      </c>
      <c r="H105" s="16" t="s">
        <v>38</v>
      </c>
      <c r="I105" s="16" t="s">
        <v>38</v>
      </c>
      <c r="J105" s="8">
        <v>90.64</v>
      </c>
      <c r="K105" s="8">
        <v>91.94</v>
      </c>
      <c r="L105" s="8">
        <v>93.5</v>
      </c>
      <c r="M105" s="8">
        <v>94.8</v>
      </c>
      <c r="N105" s="8">
        <v>96.88</v>
      </c>
      <c r="O105" s="8">
        <v>98.44</v>
      </c>
      <c r="P105" s="12">
        <v>92.72</v>
      </c>
      <c r="Q105" s="12">
        <v>91.68</v>
      </c>
      <c r="R105" s="12">
        <v>92.72</v>
      </c>
      <c r="S105" s="7">
        <v>94.54</v>
      </c>
      <c r="T105" s="9">
        <v>91.94</v>
      </c>
    </row>
    <row r="106" spans="1:20" ht="15">
      <c r="A106" s="6" t="s">
        <v>36</v>
      </c>
      <c r="B106" s="5">
        <v>1925563.7423700001</v>
      </c>
      <c r="C106" s="5">
        <v>485365.68641999998</v>
      </c>
      <c r="D106" s="13">
        <v>294.47771999999998</v>
      </c>
      <c r="E106" s="18">
        <v>23.641891000000001</v>
      </c>
      <c r="F106" s="18">
        <v>21.457443000000001</v>
      </c>
      <c r="G106" s="18">
        <v>-3.5157000000000001E-2</v>
      </c>
      <c r="H106" s="18">
        <v>53.83419</v>
      </c>
      <c r="I106" s="18">
        <v>1.87916338</v>
      </c>
      <c r="J106" s="8">
        <v>95.32</v>
      </c>
      <c r="K106" s="8">
        <v>96.36</v>
      </c>
      <c r="L106" s="8">
        <v>98.44</v>
      </c>
      <c r="M106" s="8">
        <v>100</v>
      </c>
      <c r="N106" s="8">
        <v>98.7</v>
      </c>
      <c r="O106" s="8">
        <v>100</v>
      </c>
      <c r="P106" s="12">
        <v>99.22</v>
      </c>
      <c r="Q106" s="12">
        <v>97.4</v>
      </c>
      <c r="R106" s="12">
        <v>97.92</v>
      </c>
      <c r="S106" s="7">
        <v>98.7</v>
      </c>
      <c r="T106" s="9">
        <v>98.44</v>
      </c>
    </row>
    <row r="107" spans="1:20" ht="15">
      <c r="A107" s="6" t="s">
        <v>37</v>
      </c>
      <c r="B107" s="5">
        <v>1925566.5455100001</v>
      </c>
      <c r="C107" s="5">
        <v>485371.39539999998</v>
      </c>
      <c r="D107" s="13">
        <v>294.88398100000001</v>
      </c>
      <c r="E107" s="18">
        <v>22.184507</v>
      </c>
      <c r="F107" s="18">
        <v>19.521858000000002</v>
      </c>
      <c r="G107" s="18">
        <v>0.47178500000000001</v>
      </c>
      <c r="H107" s="18">
        <v>52.255755999999998</v>
      </c>
      <c r="I107" s="18">
        <v>1.83421981</v>
      </c>
      <c r="J107" s="8">
        <v>95.84</v>
      </c>
      <c r="K107" s="8">
        <v>94.8</v>
      </c>
      <c r="L107" s="8">
        <v>97.92</v>
      </c>
      <c r="M107" s="8">
        <v>99.48</v>
      </c>
      <c r="N107" s="8">
        <v>97.66</v>
      </c>
      <c r="O107" s="8">
        <v>100</v>
      </c>
      <c r="P107" s="12">
        <v>98.18</v>
      </c>
      <c r="Q107" s="12">
        <v>97.14</v>
      </c>
      <c r="R107" s="12">
        <v>96.88</v>
      </c>
      <c r="S107" s="7">
        <v>97.66</v>
      </c>
      <c r="T107" s="9">
        <v>97.66</v>
      </c>
    </row>
    <row r="108" spans="1:20">
      <c r="J108" s="12"/>
      <c r="K108" s="12"/>
      <c r="L108" s="12"/>
      <c r="M108" s="12"/>
      <c r="N108" s="12"/>
      <c r="O108" s="12"/>
      <c r="P108" s="12"/>
      <c r="Q108" s="12"/>
      <c r="R108" s="12"/>
    </row>
    <row r="109" spans="1:20">
      <c r="J109" s="12"/>
      <c r="K109" s="12"/>
      <c r="L109" s="12"/>
      <c r="M109" s="12"/>
      <c r="N109" s="12"/>
      <c r="O109" s="12"/>
      <c r="P109" s="12"/>
      <c r="Q109" s="12"/>
      <c r="R109" s="12"/>
    </row>
    <row r="110" spans="1:20">
      <c r="J110" s="12"/>
      <c r="K110" s="12"/>
      <c r="L110" s="12"/>
      <c r="M110" s="12"/>
      <c r="N110" s="12"/>
      <c r="O110" s="12"/>
      <c r="P110" s="12"/>
      <c r="Q110" s="12"/>
      <c r="R110" s="12"/>
    </row>
    <row r="111" spans="1:20">
      <c r="J111" s="12"/>
      <c r="K111" s="12"/>
      <c r="L111" s="12"/>
      <c r="M111" s="12"/>
      <c r="N111" s="12"/>
      <c r="O111" s="12"/>
      <c r="P111" s="12"/>
      <c r="Q111" s="12"/>
      <c r="R111" s="12"/>
    </row>
    <row r="112" spans="1:20">
      <c r="J112" s="12"/>
      <c r="K112" s="12"/>
      <c r="L112" s="12"/>
      <c r="M112" s="12"/>
      <c r="N112" s="12"/>
      <c r="O112" s="12"/>
      <c r="P112" s="12"/>
      <c r="Q112" s="12"/>
      <c r="R112" s="12"/>
    </row>
    <row r="113" spans="10:18">
      <c r="J113" s="12"/>
      <c r="K113" s="12"/>
      <c r="L113" s="12"/>
      <c r="M113" s="12"/>
      <c r="N113" s="12"/>
      <c r="O113" s="12"/>
      <c r="P113" s="12"/>
      <c r="Q113" s="12"/>
      <c r="R113" s="12"/>
    </row>
  </sheetData>
  <phoneticPr fontId="27" type="noConversion"/>
  <pageMargins left="0.7" right="0.7" top="0.75" bottom="0.75" header="0.3" footer="0.3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A120"/>
  <sheetViews>
    <sheetView workbookViewId="0">
      <selection activeCell="C1" sqref="C1"/>
    </sheetView>
  </sheetViews>
  <sheetFormatPr defaultColWidth="8.85546875" defaultRowHeight="15.75"/>
  <cols>
    <col min="1" max="1" width="5.140625" style="15" bestFit="1" customWidth="1"/>
    <col min="2" max="3" width="19.7109375" style="82" customWidth="1"/>
    <col min="4" max="4" width="10.42578125" style="15" customWidth="1"/>
    <col min="5" max="5" width="11.42578125" style="15" customWidth="1"/>
    <col min="6" max="7" width="10.42578125" style="15" customWidth="1"/>
    <col min="8" max="8" width="9.85546875" style="15" customWidth="1"/>
    <col min="9" max="9" width="10" style="15" customWidth="1"/>
    <col min="10" max="10" width="10.42578125" style="15" customWidth="1"/>
    <col min="11" max="11" width="11.28515625" style="15" customWidth="1"/>
    <col min="12" max="13" width="10.42578125" style="15" customWidth="1"/>
    <col min="14" max="14" width="8.85546875" style="23"/>
    <col min="15" max="15" width="8.85546875" style="24"/>
    <col min="16" max="16" width="8.85546875" style="23"/>
    <col min="17" max="17" width="10" style="23" customWidth="1"/>
    <col min="18" max="18" width="13" style="16" customWidth="1"/>
    <col min="19" max="19" width="11.42578125" style="23" customWidth="1"/>
    <col min="20" max="22" width="10.42578125" style="23" customWidth="1"/>
    <col min="23" max="23" width="10.42578125" style="24" customWidth="1"/>
    <col min="24" max="76" width="10.42578125" style="48" customWidth="1"/>
    <col min="77" max="77" width="10.42578125" style="76" customWidth="1"/>
    <col min="78" max="78" width="11.42578125" style="76" customWidth="1"/>
    <col min="79" max="79" width="10.42578125" style="76" customWidth="1"/>
  </cols>
  <sheetData>
    <row r="1" spans="1:79">
      <c r="A1" s="21" t="s">
        <v>57</v>
      </c>
      <c r="B1" s="82" t="s">
        <v>54</v>
      </c>
      <c r="C1" s="82" t="s">
        <v>55</v>
      </c>
      <c r="D1" s="19" t="s">
        <v>117</v>
      </c>
      <c r="E1" s="19" t="s">
        <v>116</v>
      </c>
      <c r="F1" s="19" t="s">
        <v>115</v>
      </c>
      <c r="G1" s="19" t="s">
        <v>114</v>
      </c>
      <c r="H1" s="19" t="s">
        <v>113</v>
      </c>
      <c r="I1" s="19" t="s">
        <v>112</v>
      </c>
      <c r="J1" s="19" t="s">
        <v>111</v>
      </c>
      <c r="K1" s="19" t="s">
        <v>110</v>
      </c>
      <c r="L1" s="19" t="s">
        <v>109</v>
      </c>
      <c r="M1" s="19" t="s">
        <v>108</v>
      </c>
      <c r="N1" s="16" t="s">
        <v>107</v>
      </c>
      <c r="O1" s="16" t="s">
        <v>106</v>
      </c>
      <c r="P1" s="16" t="s">
        <v>105</v>
      </c>
      <c r="Q1" s="16" t="s">
        <v>104</v>
      </c>
      <c r="R1" s="21" t="s">
        <v>103</v>
      </c>
      <c r="S1" s="23" t="s">
        <v>102</v>
      </c>
      <c r="T1" s="31" t="s">
        <v>82</v>
      </c>
      <c r="U1" s="31" t="s">
        <v>83</v>
      </c>
      <c r="V1" s="31" t="s">
        <v>84</v>
      </c>
      <c r="W1" s="31" t="s">
        <v>85</v>
      </c>
      <c r="X1" s="31" t="s">
        <v>86</v>
      </c>
      <c r="Y1" s="31" t="s">
        <v>87</v>
      </c>
      <c r="Z1" s="31" t="s">
        <v>88</v>
      </c>
      <c r="AA1" s="31" t="s">
        <v>89</v>
      </c>
      <c r="AB1" s="31" t="s">
        <v>90</v>
      </c>
      <c r="AC1" s="31" t="s">
        <v>91</v>
      </c>
      <c r="AD1" s="31" t="s">
        <v>92</v>
      </c>
      <c r="AE1" s="31" t="s">
        <v>93</v>
      </c>
      <c r="AF1" s="31" t="s">
        <v>94</v>
      </c>
      <c r="AG1" s="31" t="s">
        <v>95</v>
      </c>
      <c r="AH1" s="31" t="s">
        <v>96</v>
      </c>
      <c r="AI1" s="31" t="s">
        <v>97</v>
      </c>
      <c r="AJ1" s="31" t="s">
        <v>98</v>
      </c>
      <c r="AK1" s="31" t="s">
        <v>99</v>
      </c>
      <c r="AL1" s="31" t="s">
        <v>100</v>
      </c>
      <c r="AM1" s="31" t="s">
        <v>101</v>
      </c>
      <c r="AN1" s="31" t="s">
        <v>118</v>
      </c>
      <c r="AO1" s="31" t="s">
        <v>119</v>
      </c>
      <c r="AP1" s="31" t="s">
        <v>120</v>
      </c>
      <c r="AQ1" s="31" t="s">
        <v>121</v>
      </c>
      <c r="AR1" s="31" t="s">
        <v>122</v>
      </c>
      <c r="AS1" s="31" t="s">
        <v>123</v>
      </c>
      <c r="AT1" s="31" t="s">
        <v>124</v>
      </c>
      <c r="AU1" s="31" t="s">
        <v>125</v>
      </c>
      <c r="AV1" s="31" t="s">
        <v>126</v>
      </c>
      <c r="AW1" s="31" t="s">
        <v>127</v>
      </c>
      <c r="AX1" s="31" t="s">
        <v>128</v>
      </c>
      <c r="AY1" s="31" t="s">
        <v>129</v>
      </c>
      <c r="AZ1" s="31" t="s">
        <v>130</v>
      </c>
      <c r="BA1" s="31" t="s">
        <v>131</v>
      </c>
      <c r="BB1" s="32" t="s">
        <v>132</v>
      </c>
      <c r="BC1" s="32" t="s">
        <v>133</v>
      </c>
      <c r="BD1" s="32" t="s">
        <v>134</v>
      </c>
      <c r="BE1" s="32" t="s">
        <v>135</v>
      </c>
      <c r="BF1" s="32" t="s">
        <v>136</v>
      </c>
      <c r="BG1" s="31" t="s">
        <v>81</v>
      </c>
      <c r="BH1" s="31" t="s">
        <v>137</v>
      </c>
      <c r="BI1" s="33" t="s">
        <v>80</v>
      </c>
      <c r="BJ1" s="31" t="s">
        <v>138</v>
      </c>
      <c r="BK1" s="31" t="s">
        <v>139</v>
      </c>
      <c r="BL1" s="31" t="s">
        <v>140</v>
      </c>
      <c r="BM1" s="31" t="s">
        <v>141</v>
      </c>
      <c r="BN1" s="31" t="s">
        <v>142</v>
      </c>
      <c r="BO1" s="31" t="s">
        <v>143</v>
      </c>
      <c r="BP1" s="31" t="s">
        <v>144</v>
      </c>
      <c r="BQ1" s="33" t="s">
        <v>145</v>
      </c>
      <c r="BR1" s="34" t="s">
        <v>146</v>
      </c>
      <c r="BS1" s="34" t="s">
        <v>147</v>
      </c>
      <c r="BT1" s="34" t="s">
        <v>148</v>
      </c>
      <c r="BU1" s="35" t="s">
        <v>149</v>
      </c>
      <c r="BV1" s="34" t="s">
        <v>150</v>
      </c>
      <c r="BW1" s="35" t="s">
        <v>151</v>
      </c>
      <c r="BX1" s="35" t="s">
        <v>152</v>
      </c>
      <c r="BY1" s="69" t="s">
        <v>153</v>
      </c>
      <c r="BZ1" s="69" t="s">
        <v>154</v>
      </c>
      <c r="CA1" s="69" t="s">
        <v>155</v>
      </c>
    </row>
    <row r="2" spans="1:79">
      <c r="A2" s="21" t="s">
        <v>0</v>
      </c>
      <c r="B2" s="82">
        <v>254435.22415699999</v>
      </c>
      <c r="C2" s="82">
        <v>4505558.7383700004</v>
      </c>
      <c r="D2" s="19" t="s">
        <v>38</v>
      </c>
      <c r="E2" s="19">
        <v>0.2215</v>
      </c>
      <c r="F2" s="19">
        <v>0.17149999999999999</v>
      </c>
      <c r="G2" s="19">
        <v>0.2</v>
      </c>
      <c r="H2" s="19">
        <v>0.1555</v>
      </c>
      <c r="I2" s="19">
        <v>0.15610000000000002</v>
      </c>
      <c r="J2" s="19">
        <v>0.11599999999999999</v>
      </c>
      <c r="K2" s="19">
        <v>6.3E-2</v>
      </c>
      <c r="L2" s="19">
        <v>9.9000000000000005E-2</v>
      </c>
      <c r="M2" s="19">
        <v>2.8999999999999998E-2</v>
      </c>
      <c r="N2" s="16">
        <v>9.2999999999999999E-2</v>
      </c>
      <c r="O2" s="16">
        <v>6.2E-2</v>
      </c>
      <c r="P2" s="16">
        <v>6.8000000000000005E-2</v>
      </c>
      <c r="Q2" s="16">
        <v>0.11549999999999999</v>
      </c>
      <c r="R2" s="16">
        <v>0.14400000000000002</v>
      </c>
      <c r="S2" s="16">
        <v>0.10700000000000001</v>
      </c>
      <c r="T2" s="36">
        <v>0.24</v>
      </c>
      <c r="U2" s="36">
        <v>0.247</v>
      </c>
      <c r="V2" s="36">
        <v>0.25900000000000001</v>
      </c>
      <c r="W2" s="36">
        <v>0.20799999999999999</v>
      </c>
      <c r="X2" s="36">
        <v>0.13600000000000001</v>
      </c>
      <c r="Y2" s="36">
        <v>0.20499999999999999</v>
      </c>
      <c r="Z2" s="36">
        <v>0.157</v>
      </c>
      <c r="AA2" s="36">
        <v>0.18099999999999999</v>
      </c>
      <c r="AB2" s="36">
        <v>0.25</v>
      </c>
      <c r="AC2" s="36">
        <v>0.22500000000000001</v>
      </c>
      <c r="AD2" s="36">
        <v>0.245</v>
      </c>
      <c r="AE2" s="36">
        <v>6.0999999999999999E-2</v>
      </c>
      <c r="AF2" s="36">
        <v>0.17699999999999999</v>
      </c>
      <c r="AG2" s="36">
        <v>0.192</v>
      </c>
      <c r="AH2" s="36">
        <v>2.1999999999999999E-2</v>
      </c>
      <c r="AI2" s="36" t="s">
        <v>38</v>
      </c>
      <c r="AJ2" s="36">
        <v>0.125</v>
      </c>
      <c r="AK2" s="36">
        <v>0.13700000000000001</v>
      </c>
      <c r="AL2" s="36">
        <v>0.255</v>
      </c>
      <c r="AM2" s="36">
        <v>0.13</v>
      </c>
      <c r="AN2" s="36">
        <v>0.23200000000000001</v>
      </c>
      <c r="AO2" s="36">
        <v>0.155</v>
      </c>
      <c r="AP2" s="36">
        <v>0.21299999999999999</v>
      </c>
      <c r="AQ2" s="36">
        <v>0.218</v>
      </c>
      <c r="AR2" s="36">
        <v>0.16</v>
      </c>
      <c r="AS2" s="36">
        <v>0.16700000000000001</v>
      </c>
      <c r="AT2" s="36">
        <v>0.153</v>
      </c>
      <c r="AU2" s="36">
        <v>0.128</v>
      </c>
      <c r="AV2" s="36">
        <v>0.12</v>
      </c>
      <c r="AW2" s="36">
        <v>9.6000000000000002E-2</v>
      </c>
      <c r="AX2" s="36">
        <v>7.8E-2</v>
      </c>
      <c r="AY2" s="36">
        <v>0.13500000000000001</v>
      </c>
      <c r="AZ2" s="36">
        <v>0.113</v>
      </c>
      <c r="BA2" s="36">
        <v>0.14199999999999999</v>
      </c>
      <c r="BB2" s="23" t="s">
        <v>38</v>
      </c>
      <c r="BC2" s="36">
        <v>0.17149999999999999</v>
      </c>
      <c r="BD2" s="23" t="s">
        <v>38</v>
      </c>
      <c r="BE2" s="23" t="s">
        <v>38</v>
      </c>
      <c r="BF2" s="23" t="s">
        <v>38</v>
      </c>
      <c r="BG2" s="36">
        <v>0.1595</v>
      </c>
      <c r="BH2" s="38">
        <v>0.16400000000000001</v>
      </c>
      <c r="BI2" s="38">
        <v>0.155</v>
      </c>
      <c r="BJ2" s="38">
        <v>0.1825</v>
      </c>
      <c r="BK2" s="38">
        <v>0.16300000000000001</v>
      </c>
      <c r="BL2" s="38">
        <v>0.185</v>
      </c>
      <c r="BM2" s="38" t="s">
        <v>38</v>
      </c>
      <c r="BN2" s="39" t="s">
        <v>38</v>
      </c>
      <c r="BO2" s="40" t="s">
        <v>38</v>
      </c>
      <c r="BP2" s="38">
        <v>0.21199999999999999</v>
      </c>
      <c r="BQ2" s="38">
        <v>0.153</v>
      </c>
      <c r="BR2" s="41">
        <v>0.17899999999999999</v>
      </c>
      <c r="BS2" s="41" t="s">
        <v>38</v>
      </c>
      <c r="BT2" s="41">
        <v>0.1545</v>
      </c>
      <c r="BU2" s="42" t="s">
        <v>38</v>
      </c>
      <c r="BV2" s="41">
        <v>0.1285</v>
      </c>
      <c r="BW2" s="42">
        <v>0.161</v>
      </c>
      <c r="BX2" s="42">
        <v>0.18049999999999999</v>
      </c>
      <c r="BY2" s="67">
        <v>0.2145</v>
      </c>
      <c r="BZ2" s="85">
        <f>(0.191+0.183)/2</f>
        <v>0.187</v>
      </c>
      <c r="CA2" s="89">
        <v>0.23300000000000001</v>
      </c>
    </row>
    <row r="3" spans="1:79">
      <c r="A3" s="21" t="s">
        <v>1</v>
      </c>
      <c r="B3" s="82">
        <v>254434.193532</v>
      </c>
      <c r="C3" s="82">
        <v>4505555.6557400003</v>
      </c>
      <c r="D3" s="19" t="s">
        <v>38</v>
      </c>
      <c r="E3" s="19">
        <v>0.20649999999999999</v>
      </c>
      <c r="F3" s="19">
        <v>0.19400000000000001</v>
      </c>
      <c r="G3" s="19">
        <v>0.22700000000000001</v>
      </c>
      <c r="H3" s="19">
        <v>0.16400000000000001</v>
      </c>
      <c r="I3" s="19">
        <v>0.1615</v>
      </c>
      <c r="J3" s="19">
        <v>0.1275</v>
      </c>
      <c r="K3" s="19">
        <v>7.1000000000000008E-2</v>
      </c>
      <c r="L3" s="19">
        <v>0.12</v>
      </c>
      <c r="M3" s="19">
        <v>6.5500000000000003E-2</v>
      </c>
      <c r="N3" s="16">
        <v>0.111</v>
      </c>
      <c r="O3" s="16">
        <v>6.8000000000000005E-2</v>
      </c>
      <c r="P3" s="16">
        <v>8.5999999999999993E-2</v>
      </c>
      <c r="Q3" s="16">
        <v>0.155</v>
      </c>
      <c r="R3" s="16" t="s">
        <v>38</v>
      </c>
      <c r="S3" s="16">
        <v>0.13100000000000001</v>
      </c>
      <c r="T3" s="36">
        <v>0.20499999999999999</v>
      </c>
      <c r="U3" s="36">
        <v>0.21199999999999999</v>
      </c>
      <c r="V3" s="36">
        <v>0.215</v>
      </c>
      <c r="W3" s="36">
        <v>0.19700000000000001</v>
      </c>
      <c r="X3" s="36">
        <v>0.152</v>
      </c>
      <c r="Y3" s="36">
        <v>0.129</v>
      </c>
      <c r="Z3" s="36">
        <v>0.17399999999999999</v>
      </c>
      <c r="AA3" s="36">
        <v>0.23599999999999999</v>
      </c>
      <c r="AB3" s="36">
        <v>0.22700000000000001</v>
      </c>
      <c r="AC3" s="36">
        <v>0.188</v>
      </c>
      <c r="AD3" s="36">
        <v>0.21099999999999999</v>
      </c>
      <c r="AE3" s="36">
        <v>6.7000000000000004E-2</v>
      </c>
      <c r="AF3" s="36">
        <v>0.13500000000000001</v>
      </c>
      <c r="AG3" s="36">
        <v>0.13800000000000001</v>
      </c>
      <c r="AH3" s="36">
        <v>0.01</v>
      </c>
      <c r="AI3" s="36">
        <v>0.03</v>
      </c>
      <c r="AJ3" s="36">
        <v>0.106</v>
      </c>
      <c r="AK3" s="36">
        <v>0.11</v>
      </c>
      <c r="AL3" s="36">
        <v>0.214</v>
      </c>
      <c r="AM3" s="36">
        <v>0.114</v>
      </c>
      <c r="AN3" s="36">
        <v>0.19700000000000001</v>
      </c>
      <c r="AO3" s="36">
        <v>0.13</v>
      </c>
      <c r="AP3" s="36">
        <v>0.193</v>
      </c>
      <c r="AQ3" s="36">
        <v>0.158</v>
      </c>
      <c r="AR3" s="36">
        <v>0.14599999999999999</v>
      </c>
      <c r="AS3" s="36">
        <v>0.15</v>
      </c>
      <c r="AT3" s="36">
        <v>0.14099999999999999</v>
      </c>
      <c r="AU3" s="36">
        <v>0.11</v>
      </c>
      <c r="AV3" s="36">
        <v>9.7000000000000003E-2</v>
      </c>
      <c r="AW3" s="36">
        <v>6.7000000000000004E-2</v>
      </c>
      <c r="AX3" s="36">
        <v>7.2999999999999995E-2</v>
      </c>
      <c r="AY3" s="36">
        <v>0.14799999999999999</v>
      </c>
      <c r="AZ3" s="36">
        <v>0.122</v>
      </c>
      <c r="BA3" s="36">
        <v>0.158</v>
      </c>
      <c r="BB3" s="23" t="s">
        <v>38</v>
      </c>
      <c r="BC3" s="36" t="s">
        <v>38</v>
      </c>
      <c r="BD3" s="23" t="s">
        <v>38</v>
      </c>
      <c r="BE3" s="23" t="s">
        <v>38</v>
      </c>
      <c r="BF3" s="23" t="s">
        <v>38</v>
      </c>
      <c r="BG3" s="36">
        <v>0.17749999999999999</v>
      </c>
      <c r="BH3" s="38">
        <v>0.16850000000000001</v>
      </c>
      <c r="BI3" s="38">
        <v>0.16899999999999998</v>
      </c>
      <c r="BJ3" s="38">
        <v>0.1915</v>
      </c>
      <c r="BK3" s="38">
        <v>0.16250000000000001</v>
      </c>
      <c r="BL3" s="38">
        <v>0.16950000000000001</v>
      </c>
      <c r="BM3" s="38">
        <v>0.19900000000000001</v>
      </c>
      <c r="BN3" s="39" t="s">
        <v>38</v>
      </c>
      <c r="BO3" s="40">
        <v>0.20200000000000001</v>
      </c>
      <c r="BP3" s="38">
        <v>0.22450000000000001</v>
      </c>
      <c r="BQ3" s="38">
        <v>0.153</v>
      </c>
      <c r="BR3" s="41">
        <v>0.189</v>
      </c>
      <c r="BS3" s="41" t="s">
        <v>38</v>
      </c>
      <c r="BT3" s="41">
        <v>0.13950000000000001</v>
      </c>
      <c r="BU3" s="42" t="s">
        <v>38</v>
      </c>
      <c r="BV3" s="41">
        <v>0.11650000000000001</v>
      </c>
      <c r="BW3" s="42">
        <v>0.161</v>
      </c>
      <c r="BX3" s="42">
        <v>0.16500000000000001</v>
      </c>
      <c r="BY3" s="67">
        <v>0.2135</v>
      </c>
      <c r="BZ3" s="85">
        <f>(0.219+0.222)/2</f>
        <v>0.2205</v>
      </c>
      <c r="CA3" s="89">
        <v>0.29349999999999998</v>
      </c>
    </row>
    <row r="4" spans="1:79">
      <c r="A4" s="21" t="s">
        <v>2</v>
      </c>
      <c r="B4" s="82">
        <v>254437.047169</v>
      </c>
      <c r="C4" s="82">
        <v>4505550.4602800002</v>
      </c>
      <c r="D4" s="19" t="s">
        <v>38</v>
      </c>
      <c r="E4" s="19">
        <v>0.19400000000000001</v>
      </c>
      <c r="F4" s="19">
        <v>0.129</v>
      </c>
      <c r="G4" s="19">
        <v>0.13450000000000001</v>
      </c>
      <c r="H4" s="19">
        <v>4.0500000000000001E-2</v>
      </c>
      <c r="I4" s="19">
        <v>6.5000000000000002E-2</v>
      </c>
      <c r="J4" s="19">
        <v>4.9500000000000002E-2</v>
      </c>
      <c r="K4" s="19">
        <v>0</v>
      </c>
      <c r="L4" s="19">
        <v>8.4499999999999992E-2</v>
      </c>
      <c r="M4" s="19">
        <v>0</v>
      </c>
      <c r="N4" s="16">
        <v>6.6500000000000004E-2</v>
      </c>
      <c r="O4" s="16">
        <v>0</v>
      </c>
      <c r="P4" s="16">
        <v>0</v>
      </c>
      <c r="Q4" s="16">
        <v>8.2000000000000003E-2</v>
      </c>
      <c r="R4" s="16">
        <v>0.10400000000000001</v>
      </c>
      <c r="S4" s="16">
        <v>6.7000000000000004E-2</v>
      </c>
      <c r="T4" s="36">
        <v>0.19600000000000001</v>
      </c>
      <c r="U4" s="36">
        <v>0.223</v>
      </c>
      <c r="V4" s="36">
        <v>0.21099999999999999</v>
      </c>
      <c r="W4" s="36">
        <v>0.17299999999999999</v>
      </c>
      <c r="X4" s="36">
        <v>0.13400000000000001</v>
      </c>
      <c r="Y4" s="36">
        <v>0.123</v>
      </c>
      <c r="Z4" s="36">
        <v>0.157</v>
      </c>
      <c r="AA4" s="36">
        <v>0.182</v>
      </c>
      <c r="AB4" s="36">
        <v>0.22700000000000001</v>
      </c>
      <c r="AC4" s="36">
        <v>0.19</v>
      </c>
      <c r="AD4" s="36">
        <v>0.21299999999999999</v>
      </c>
      <c r="AE4" s="36">
        <v>4.3999999999999997E-2</v>
      </c>
      <c r="AF4" s="36">
        <v>0.13800000000000001</v>
      </c>
      <c r="AG4" s="36">
        <v>0.16200000000000001</v>
      </c>
      <c r="AH4" s="36" t="s">
        <v>38</v>
      </c>
      <c r="AI4" s="36" t="s">
        <v>38</v>
      </c>
      <c r="AJ4" s="36">
        <v>0.112</v>
      </c>
      <c r="AK4" s="36">
        <v>9.8000000000000004E-2</v>
      </c>
      <c r="AL4" s="36">
        <v>0.222</v>
      </c>
      <c r="AM4" s="36">
        <v>0.109</v>
      </c>
      <c r="AN4" s="36">
        <v>0.188</v>
      </c>
      <c r="AO4" s="36">
        <v>0.13</v>
      </c>
      <c r="AP4" s="36">
        <v>0.159</v>
      </c>
      <c r="AQ4" s="36">
        <v>0.16700000000000001</v>
      </c>
      <c r="AR4" s="36">
        <v>0.13400000000000001</v>
      </c>
      <c r="AS4" s="36">
        <v>0.13</v>
      </c>
      <c r="AT4" s="36">
        <v>0.127</v>
      </c>
      <c r="AU4" s="36">
        <v>0.104</v>
      </c>
      <c r="AV4" s="36">
        <v>8.5000000000000006E-2</v>
      </c>
      <c r="AW4" s="36">
        <v>6.5000000000000002E-2</v>
      </c>
      <c r="AX4" s="36">
        <v>7.8E-2</v>
      </c>
      <c r="AY4" s="36">
        <v>0.155</v>
      </c>
      <c r="AZ4" s="36">
        <v>0.121</v>
      </c>
      <c r="BA4" s="36">
        <v>0.161</v>
      </c>
      <c r="BB4" s="23" t="s">
        <v>38</v>
      </c>
      <c r="BC4" s="36" t="s">
        <v>38</v>
      </c>
      <c r="BD4" s="23" t="s">
        <v>38</v>
      </c>
      <c r="BE4" s="23" t="s">
        <v>38</v>
      </c>
      <c r="BF4" s="23" t="s">
        <v>38</v>
      </c>
      <c r="BG4" s="36">
        <v>8.7499999999999994E-2</v>
      </c>
      <c r="BH4" s="38">
        <v>7.2499999999999995E-2</v>
      </c>
      <c r="BI4" s="38">
        <v>8.6999999999999994E-2</v>
      </c>
      <c r="BJ4" s="38">
        <v>0.11899999999999999</v>
      </c>
      <c r="BK4" s="38">
        <v>0.10700000000000001</v>
      </c>
      <c r="BL4" s="38">
        <v>0.104</v>
      </c>
      <c r="BM4" s="38">
        <v>0.129</v>
      </c>
      <c r="BN4" s="39" t="s">
        <v>38</v>
      </c>
      <c r="BO4" s="40">
        <v>9.2999999999999999E-2</v>
      </c>
      <c r="BP4" s="38">
        <v>0.1125</v>
      </c>
      <c r="BQ4" s="38">
        <v>7.2499999999999995E-2</v>
      </c>
      <c r="BR4" s="41">
        <v>0.1245</v>
      </c>
      <c r="BS4" s="41" t="s">
        <v>38</v>
      </c>
      <c r="BT4" s="41">
        <v>8.6999999999999994E-2</v>
      </c>
      <c r="BU4" s="42" t="s">
        <v>38</v>
      </c>
      <c r="BV4" s="41">
        <v>0</v>
      </c>
      <c r="BW4" s="42">
        <v>0.1595</v>
      </c>
      <c r="BX4" s="42">
        <v>0.13450000000000001</v>
      </c>
      <c r="BY4" s="88" t="s">
        <v>38</v>
      </c>
      <c r="BZ4" s="85">
        <f>(0.145+0.155)/2</f>
        <v>0.15</v>
      </c>
      <c r="CA4" s="89">
        <v>0.19500000000000001</v>
      </c>
    </row>
    <row r="5" spans="1:79">
      <c r="A5" s="21" t="s">
        <v>3</v>
      </c>
      <c r="B5" s="82">
        <v>254438.863595</v>
      </c>
      <c r="C5" s="82">
        <v>4505538.7464199997</v>
      </c>
      <c r="D5" s="19" t="s">
        <v>38</v>
      </c>
      <c r="E5" s="19">
        <v>0.17299999999999999</v>
      </c>
      <c r="F5" s="19">
        <v>0.1605</v>
      </c>
      <c r="G5" s="19">
        <v>0.20300000000000001</v>
      </c>
      <c r="H5" s="19">
        <v>0.1545</v>
      </c>
      <c r="I5" s="19">
        <v>0.124</v>
      </c>
      <c r="J5" s="19">
        <v>0.11199999999999999</v>
      </c>
      <c r="K5" s="19">
        <v>4.9000000000000002E-2</v>
      </c>
      <c r="L5" s="19">
        <v>0.111</v>
      </c>
      <c r="M5" s="19">
        <v>3.5000000000000003E-2</v>
      </c>
      <c r="N5" s="16">
        <v>9.9500000000000005E-2</v>
      </c>
      <c r="O5" s="16">
        <v>0.05</v>
      </c>
      <c r="P5" s="16">
        <v>7.0000000000000007E-2</v>
      </c>
      <c r="Q5" s="16">
        <v>0.13850000000000001</v>
      </c>
      <c r="R5" s="16" t="s">
        <v>38</v>
      </c>
      <c r="S5" s="16">
        <v>0.1145</v>
      </c>
      <c r="T5" s="36">
        <v>0.16800000000000001</v>
      </c>
      <c r="U5" s="36">
        <v>0.17899999999999999</v>
      </c>
      <c r="V5" s="36">
        <v>0.17799999999999999</v>
      </c>
      <c r="W5" s="36">
        <v>0.15</v>
      </c>
      <c r="X5" s="36">
        <v>0.106</v>
      </c>
      <c r="Y5" s="36">
        <v>9.6000000000000002E-2</v>
      </c>
      <c r="Z5" s="36">
        <v>0.115</v>
      </c>
      <c r="AA5" s="36">
        <v>0.11899999999999999</v>
      </c>
      <c r="AB5" s="36">
        <v>0.20100000000000001</v>
      </c>
      <c r="AC5" s="36">
        <v>0.13400000000000001</v>
      </c>
      <c r="AD5" s="36">
        <v>0.17799999999999999</v>
      </c>
      <c r="AE5" s="36">
        <v>5.2999999999999999E-2</v>
      </c>
      <c r="AF5" s="36">
        <v>0.154</v>
      </c>
      <c r="AG5" s="36">
        <v>0.114</v>
      </c>
      <c r="AH5" s="36">
        <v>3.9E-2</v>
      </c>
      <c r="AI5" s="36">
        <v>2.7E-2</v>
      </c>
      <c r="AJ5" s="36">
        <v>0.11700000000000001</v>
      </c>
      <c r="AK5" s="36">
        <v>9.2999999999999999E-2</v>
      </c>
      <c r="AL5" s="36">
        <v>0.19800000000000001</v>
      </c>
      <c r="AM5" s="36">
        <v>0.10199999999999999</v>
      </c>
      <c r="AN5" s="36">
        <v>0.152</v>
      </c>
      <c r="AO5" s="36">
        <v>0.121</v>
      </c>
      <c r="AP5" s="36">
        <v>0.14199999999999999</v>
      </c>
      <c r="AQ5" s="36">
        <v>0.15</v>
      </c>
      <c r="AR5" s="36">
        <v>0.126</v>
      </c>
      <c r="AS5" s="36">
        <v>0.106</v>
      </c>
      <c r="AT5" s="36">
        <v>5.2999999999999999E-2</v>
      </c>
      <c r="AU5" s="36">
        <v>8.6999999999999994E-2</v>
      </c>
      <c r="AV5" s="36">
        <v>7.4999999999999997E-2</v>
      </c>
      <c r="AW5" s="36">
        <v>5.1999999999999998E-2</v>
      </c>
      <c r="AX5" s="36">
        <v>6.5000000000000002E-2</v>
      </c>
      <c r="AY5" s="36">
        <v>0.128</v>
      </c>
      <c r="AZ5" s="36">
        <v>0.123</v>
      </c>
      <c r="BA5" s="36">
        <v>0.11899999999999999</v>
      </c>
      <c r="BB5" s="23" t="s">
        <v>38</v>
      </c>
      <c r="BC5" s="36">
        <v>0.1105</v>
      </c>
      <c r="BD5" s="23" t="s">
        <v>38</v>
      </c>
      <c r="BE5" s="23" t="s">
        <v>38</v>
      </c>
      <c r="BF5" s="23" t="s">
        <v>38</v>
      </c>
      <c r="BG5" s="36">
        <v>0.17299999999999999</v>
      </c>
      <c r="BH5" s="38">
        <v>0.1515</v>
      </c>
      <c r="BI5" s="38">
        <v>0.1905</v>
      </c>
      <c r="BJ5" s="38">
        <v>0.182</v>
      </c>
      <c r="BK5" s="38">
        <v>0.157</v>
      </c>
      <c r="BL5" s="38">
        <v>0.16550000000000001</v>
      </c>
      <c r="BM5" s="38">
        <v>0.17649999999999999</v>
      </c>
      <c r="BN5" s="39" t="s">
        <v>38</v>
      </c>
      <c r="BO5" s="40">
        <v>0.19750000000000001</v>
      </c>
      <c r="BP5" s="38">
        <v>0.17449999999999999</v>
      </c>
      <c r="BQ5" s="38">
        <v>0.14150000000000001</v>
      </c>
      <c r="BR5" s="41">
        <v>0.1275</v>
      </c>
      <c r="BS5" s="41" t="s">
        <v>38</v>
      </c>
      <c r="BT5" s="41">
        <v>0.10150000000000001</v>
      </c>
      <c r="BU5" s="42">
        <v>0.11449999999999999</v>
      </c>
      <c r="BV5" s="41">
        <v>8.1000000000000003E-2</v>
      </c>
      <c r="BW5" s="42">
        <v>0.14200000000000002</v>
      </c>
      <c r="BX5" s="42">
        <v>0.13500000000000001</v>
      </c>
      <c r="BY5" s="67">
        <v>0.217</v>
      </c>
      <c r="BZ5" s="85">
        <f>(0.185+0.201)/2</f>
        <v>0.193</v>
      </c>
      <c r="CA5" s="89">
        <v>0.25750000000000001</v>
      </c>
    </row>
    <row r="6" spans="1:79">
      <c r="A6" s="21" t="s">
        <v>4</v>
      </c>
      <c r="B6" s="82">
        <v>254443.36339700001</v>
      </c>
      <c r="C6" s="82">
        <v>4505517.0831000004</v>
      </c>
      <c r="D6" s="19" t="s">
        <v>38</v>
      </c>
      <c r="E6" s="19">
        <v>0.19400000000000001</v>
      </c>
      <c r="F6" s="19">
        <v>0.19350000000000001</v>
      </c>
      <c r="G6" s="19">
        <v>0.2155</v>
      </c>
      <c r="H6" s="19">
        <v>0.161</v>
      </c>
      <c r="I6" s="19">
        <v>0.1295</v>
      </c>
      <c r="J6" s="19">
        <v>0.106</v>
      </c>
      <c r="K6" s="19">
        <v>8.3999999999999991E-2</v>
      </c>
      <c r="L6" s="19">
        <v>0.14699999999999999</v>
      </c>
      <c r="M6" s="19">
        <v>4.65E-2</v>
      </c>
      <c r="N6" s="16">
        <v>0.1125</v>
      </c>
      <c r="O6" s="16">
        <v>9.4500000000000001E-2</v>
      </c>
      <c r="P6" s="16">
        <v>9.9500000000000005E-2</v>
      </c>
      <c r="Q6" s="16">
        <v>0.153</v>
      </c>
      <c r="R6" s="16">
        <v>0.16899999999999998</v>
      </c>
      <c r="S6" s="16">
        <v>0.13450000000000001</v>
      </c>
      <c r="T6" s="36">
        <v>0.20300000000000001</v>
      </c>
      <c r="U6" s="36">
        <v>0.216</v>
      </c>
      <c r="V6" s="36">
        <v>0.23499999999999999</v>
      </c>
      <c r="W6" s="36">
        <v>0.20699999999999999</v>
      </c>
      <c r="X6" s="36">
        <v>0.156</v>
      </c>
      <c r="Y6" s="36">
        <v>0.127</v>
      </c>
      <c r="Z6" s="36">
        <v>0.155</v>
      </c>
      <c r="AA6" s="36">
        <v>0.18099999999999999</v>
      </c>
      <c r="AB6" s="36">
        <v>0.23699999999999999</v>
      </c>
      <c r="AC6" s="36">
        <v>0.19500000000000001</v>
      </c>
      <c r="AD6" s="36">
        <v>0.19400000000000001</v>
      </c>
      <c r="AE6" s="36">
        <v>4.9000000000000002E-2</v>
      </c>
      <c r="AF6" s="36">
        <v>0.13300000000000001</v>
      </c>
      <c r="AG6" s="36">
        <v>0.152</v>
      </c>
      <c r="AH6" s="36">
        <v>0.05</v>
      </c>
      <c r="AI6" s="36">
        <v>0.06</v>
      </c>
      <c r="AJ6" s="36">
        <v>0.107</v>
      </c>
      <c r="AK6" s="36">
        <v>0.105</v>
      </c>
      <c r="AL6" s="36">
        <v>0.222</v>
      </c>
      <c r="AM6" s="36">
        <v>0.14199999999999999</v>
      </c>
      <c r="AN6" s="36">
        <v>0.193</v>
      </c>
      <c r="AO6" s="36">
        <v>0.127</v>
      </c>
      <c r="AP6" s="36">
        <v>0.14199999999999999</v>
      </c>
      <c r="AQ6" s="36">
        <v>0.155</v>
      </c>
      <c r="AR6" s="36">
        <v>0.125</v>
      </c>
      <c r="AS6" s="36">
        <v>0.13</v>
      </c>
      <c r="AT6" s="36">
        <v>0.127</v>
      </c>
      <c r="AU6" s="36">
        <v>0.113</v>
      </c>
      <c r="AV6" s="36">
        <v>0.10199999999999999</v>
      </c>
      <c r="AW6" s="36">
        <v>6.7000000000000004E-2</v>
      </c>
      <c r="AX6" s="36">
        <v>9.8000000000000004E-2</v>
      </c>
      <c r="AY6" s="36">
        <v>0.16400000000000001</v>
      </c>
      <c r="AZ6" s="36">
        <v>0.14099999999999999</v>
      </c>
      <c r="BA6" s="36">
        <v>0.159</v>
      </c>
      <c r="BB6" s="23" t="s">
        <v>38</v>
      </c>
      <c r="BC6" s="36">
        <v>0.1595</v>
      </c>
      <c r="BD6" s="23" t="s">
        <v>38</v>
      </c>
      <c r="BE6" s="23" t="s">
        <v>38</v>
      </c>
      <c r="BF6" s="23" t="s">
        <v>38</v>
      </c>
      <c r="BG6" s="36">
        <v>0.1915</v>
      </c>
      <c r="BH6" s="38">
        <v>0.16400000000000001</v>
      </c>
      <c r="BI6" s="38">
        <v>0.188</v>
      </c>
      <c r="BJ6" s="38">
        <v>0.17599999999999999</v>
      </c>
      <c r="BK6" s="38">
        <v>0.16650000000000001</v>
      </c>
      <c r="BL6" s="38">
        <v>0.18</v>
      </c>
      <c r="BM6" s="38">
        <v>0.19550000000000001</v>
      </c>
      <c r="BN6" s="39" t="s">
        <v>38</v>
      </c>
      <c r="BO6" s="40">
        <v>0.17849999999999999</v>
      </c>
      <c r="BP6" s="38">
        <v>0.20650000000000002</v>
      </c>
      <c r="BQ6" s="38">
        <v>0.127</v>
      </c>
      <c r="BR6" s="41">
        <v>0.14050000000000001</v>
      </c>
      <c r="BS6" s="41" t="s">
        <v>38</v>
      </c>
      <c r="BT6" s="41">
        <v>0.10600000000000001</v>
      </c>
      <c r="BU6" s="42">
        <v>0.13350000000000001</v>
      </c>
      <c r="BV6" s="41">
        <v>7.6000000000000012E-2</v>
      </c>
      <c r="BW6" s="42">
        <v>0.157</v>
      </c>
      <c r="BX6" s="42">
        <v>0.153</v>
      </c>
      <c r="BY6" s="67">
        <v>0.19350000000000001</v>
      </c>
      <c r="BZ6" s="84" t="s">
        <v>38</v>
      </c>
      <c r="CA6" s="89" t="s">
        <v>38</v>
      </c>
    </row>
    <row r="7" spans="1:79">
      <c r="A7" s="21" t="s">
        <v>5</v>
      </c>
      <c r="B7" s="82">
        <v>254468.858427</v>
      </c>
      <c r="C7" s="82">
        <v>4505567.6974299997</v>
      </c>
      <c r="D7" s="19" t="s">
        <v>38</v>
      </c>
      <c r="E7" s="19" t="s">
        <v>38</v>
      </c>
      <c r="F7" s="19" t="s">
        <v>38</v>
      </c>
      <c r="G7" s="19" t="s">
        <v>38</v>
      </c>
      <c r="H7" s="19" t="s">
        <v>38</v>
      </c>
      <c r="I7" s="19" t="s">
        <v>38</v>
      </c>
      <c r="J7" s="19" t="s">
        <v>38</v>
      </c>
      <c r="K7" s="19" t="s">
        <v>38</v>
      </c>
      <c r="L7" s="19" t="s">
        <v>38</v>
      </c>
      <c r="M7" s="19" t="s">
        <v>38</v>
      </c>
      <c r="N7" s="23" t="s">
        <v>38</v>
      </c>
      <c r="O7" s="23" t="s">
        <v>38</v>
      </c>
      <c r="P7" s="23" t="s">
        <v>38</v>
      </c>
      <c r="Q7" s="23" t="s">
        <v>38</v>
      </c>
      <c r="R7" s="23" t="s">
        <v>38</v>
      </c>
      <c r="S7" s="23" t="s">
        <v>38</v>
      </c>
      <c r="T7" s="23" t="s">
        <v>38</v>
      </c>
      <c r="U7" s="23" t="s">
        <v>38</v>
      </c>
      <c r="V7" s="23" t="s">
        <v>38</v>
      </c>
      <c r="W7" s="23" t="s">
        <v>38</v>
      </c>
      <c r="X7" s="23" t="s">
        <v>38</v>
      </c>
      <c r="Y7" s="23" t="s">
        <v>38</v>
      </c>
      <c r="Z7" s="23" t="s">
        <v>38</v>
      </c>
      <c r="AA7" s="23" t="s">
        <v>38</v>
      </c>
      <c r="AB7" s="23" t="s">
        <v>38</v>
      </c>
      <c r="AC7" s="23" t="s">
        <v>38</v>
      </c>
      <c r="AD7" s="23" t="s">
        <v>38</v>
      </c>
      <c r="AE7" s="23" t="s">
        <v>38</v>
      </c>
      <c r="AF7" s="23" t="s">
        <v>38</v>
      </c>
      <c r="AG7" s="23" t="s">
        <v>38</v>
      </c>
      <c r="AH7" s="23" t="s">
        <v>38</v>
      </c>
      <c r="AI7" s="23" t="s">
        <v>38</v>
      </c>
      <c r="AJ7" s="23" t="s">
        <v>38</v>
      </c>
      <c r="AK7" s="23" t="s">
        <v>38</v>
      </c>
      <c r="AL7" s="23" t="s">
        <v>38</v>
      </c>
      <c r="AM7" s="23" t="s">
        <v>38</v>
      </c>
      <c r="AN7" s="23" t="s">
        <v>38</v>
      </c>
      <c r="AO7" s="23" t="s">
        <v>38</v>
      </c>
      <c r="AP7" s="23" t="s">
        <v>38</v>
      </c>
      <c r="AQ7" s="23" t="s">
        <v>38</v>
      </c>
      <c r="AR7" s="23" t="s">
        <v>38</v>
      </c>
      <c r="AS7" s="23" t="s">
        <v>38</v>
      </c>
      <c r="AT7" s="23" t="s">
        <v>38</v>
      </c>
      <c r="AU7" s="23" t="s">
        <v>38</v>
      </c>
      <c r="AV7" s="23" t="s">
        <v>38</v>
      </c>
      <c r="AW7" s="23" t="s">
        <v>38</v>
      </c>
      <c r="AX7" s="23" t="s">
        <v>38</v>
      </c>
      <c r="AY7" s="23" t="s">
        <v>38</v>
      </c>
      <c r="AZ7" s="23" t="s">
        <v>38</v>
      </c>
      <c r="BA7" s="23" t="s">
        <v>38</v>
      </c>
      <c r="BB7" s="23" t="s">
        <v>38</v>
      </c>
      <c r="BC7" s="23" t="s">
        <v>38</v>
      </c>
      <c r="BD7" s="23" t="s">
        <v>38</v>
      </c>
      <c r="BE7" s="23" t="s">
        <v>38</v>
      </c>
      <c r="BF7" s="23" t="s">
        <v>38</v>
      </c>
      <c r="BG7" s="23" t="s">
        <v>38</v>
      </c>
      <c r="BH7" s="23" t="s">
        <v>38</v>
      </c>
      <c r="BI7" s="23" t="s">
        <v>38</v>
      </c>
      <c r="BJ7" s="23" t="s">
        <v>38</v>
      </c>
      <c r="BK7" s="23" t="s">
        <v>38</v>
      </c>
      <c r="BL7" s="23" t="s">
        <v>38</v>
      </c>
      <c r="BM7" s="23" t="s">
        <v>38</v>
      </c>
      <c r="BN7" s="23" t="s">
        <v>38</v>
      </c>
      <c r="BO7" s="23" t="s">
        <v>38</v>
      </c>
      <c r="BP7" s="23" t="s">
        <v>38</v>
      </c>
      <c r="BQ7" s="23" t="s">
        <v>38</v>
      </c>
      <c r="BR7" s="23" t="s">
        <v>38</v>
      </c>
      <c r="BS7" s="23" t="s">
        <v>38</v>
      </c>
      <c r="BT7" s="23" t="s">
        <v>38</v>
      </c>
      <c r="BU7" s="23" t="s">
        <v>38</v>
      </c>
      <c r="BV7" s="23" t="s">
        <v>38</v>
      </c>
      <c r="BW7" s="23" t="s">
        <v>38</v>
      </c>
      <c r="BX7" s="23" t="s">
        <v>38</v>
      </c>
      <c r="BY7" s="92" t="s">
        <v>38</v>
      </c>
      <c r="BZ7" s="92"/>
      <c r="CA7" s="89" t="s">
        <v>38</v>
      </c>
    </row>
    <row r="8" spans="1:79">
      <c r="A8" s="21" t="s">
        <v>6</v>
      </c>
      <c r="B8" s="82">
        <v>254476.14911900001</v>
      </c>
      <c r="C8" s="82">
        <v>4505545.3174999999</v>
      </c>
      <c r="D8" s="19" t="s">
        <v>38</v>
      </c>
      <c r="E8" s="19" t="s">
        <v>38</v>
      </c>
      <c r="F8" s="19" t="s">
        <v>38</v>
      </c>
      <c r="G8" s="19" t="s">
        <v>38</v>
      </c>
      <c r="H8" s="19" t="s">
        <v>38</v>
      </c>
      <c r="I8" s="19" t="s">
        <v>38</v>
      </c>
      <c r="J8" s="19" t="s">
        <v>38</v>
      </c>
      <c r="K8" s="19" t="s">
        <v>38</v>
      </c>
      <c r="L8" s="19" t="s">
        <v>38</v>
      </c>
      <c r="M8" s="19" t="s">
        <v>38</v>
      </c>
      <c r="N8" s="23" t="s">
        <v>38</v>
      </c>
      <c r="O8" s="23" t="s">
        <v>38</v>
      </c>
      <c r="P8" s="23" t="s">
        <v>38</v>
      </c>
      <c r="Q8" s="23" t="s">
        <v>38</v>
      </c>
      <c r="R8" s="23" t="s">
        <v>38</v>
      </c>
      <c r="S8" s="23" t="s">
        <v>38</v>
      </c>
      <c r="T8" s="23" t="s">
        <v>38</v>
      </c>
      <c r="U8" s="23" t="s">
        <v>38</v>
      </c>
      <c r="V8" s="23" t="s">
        <v>38</v>
      </c>
      <c r="W8" s="23" t="s">
        <v>38</v>
      </c>
      <c r="X8" s="23" t="s">
        <v>38</v>
      </c>
      <c r="Y8" s="23" t="s">
        <v>38</v>
      </c>
      <c r="Z8" s="23" t="s">
        <v>38</v>
      </c>
      <c r="AA8" s="23" t="s">
        <v>38</v>
      </c>
      <c r="AB8" s="23" t="s">
        <v>38</v>
      </c>
      <c r="AC8" s="23" t="s">
        <v>38</v>
      </c>
      <c r="AD8" s="23" t="s">
        <v>38</v>
      </c>
      <c r="AE8" s="23" t="s">
        <v>38</v>
      </c>
      <c r="AF8" s="23" t="s">
        <v>38</v>
      </c>
      <c r="AG8" s="23" t="s">
        <v>38</v>
      </c>
      <c r="AH8" s="23" t="s">
        <v>38</v>
      </c>
      <c r="AI8" s="23" t="s">
        <v>38</v>
      </c>
      <c r="AJ8" s="23" t="s">
        <v>38</v>
      </c>
      <c r="AK8" s="23" t="s">
        <v>38</v>
      </c>
      <c r="AL8" s="23" t="s">
        <v>38</v>
      </c>
      <c r="AM8" s="23" t="s">
        <v>38</v>
      </c>
      <c r="AN8" s="23" t="s">
        <v>38</v>
      </c>
      <c r="AO8" s="23" t="s">
        <v>38</v>
      </c>
      <c r="AP8" s="23" t="s">
        <v>38</v>
      </c>
      <c r="AQ8" s="23" t="s">
        <v>38</v>
      </c>
      <c r="AR8" s="23" t="s">
        <v>38</v>
      </c>
      <c r="AS8" s="23" t="s">
        <v>38</v>
      </c>
      <c r="AT8" s="23" t="s">
        <v>38</v>
      </c>
      <c r="AU8" s="23" t="s">
        <v>38</v>
      </c>
      <c r="AV8" s="23" t="s">
        <v>38</v>
      </c>
      <c r="AW8" s="23" t="s">
        <v>38</v>
      </c>
      <c r="AX8" s="23" t="s">
        <v>38</v>
      </c>
      <c r="AY8" s="23" t="s">
        <v>38</v>
      </c>
      <c r="AZ8" s="23" t="s">
        <v>38</v>
      </c>
      <c r="BA8" s="23" t="s">
        <v>38</v>
      </c>
      <c r="BB8" s="23" t="s">
        <v>38</v>
      </c>
      <c r="BC8" s="23" t="s">
        <v>38</v>
      </c>
      <c r="BD8" s="23" t="s">
        <v>38</v>
      </c>
      <c r="BE8" s="23" t="s">
        <v>38</v>
      </c>
      <c r="BF8" s="23" t="s">
        <v>38</v>
      </c>
      <c r="BG8" s="23" t="s">
        <v>38</v>
      </c>
      <c r="BH8" s="23" t="s">
        <v>38</v>
      </c>
      <c r="BI8" s="23" t="s">
        <v>38</v>
      </c>
      <c r="BJ8" s="23" t="s">
        <v>38</v>
      </c>
      <c r="BK8" s="23" t="s">
        <v>38</v>
      </c>
      <c r="BL8" s="23" t="s">
        <v>38</v>
      </c>
      <c r="BM8" s="23" t="s">
        <v>38</v>
      </c>
      <c r="BN8" s="23" t="s">
        <v>38</v>
      </c>
      <c r="BO8" s="23" t="s">
        <v>38</v>
      </c>
      <c r="BP8" s="23" t="s">
        <v>38</v>
      </c>
      <c r="BQ8" s="23" t="s">
        <v>38</v>
      </c>
      <c r="BR8" s="23" t="s">
        <v>38</v>
      </c>
      <c r="BS8" s="23" t="s">
        <v>38</v>
      </c>
      <c r="BT8" s="23" t="s">
        <v>38</v>
      </c>
      <c r="BU8" s="23" t="s">
        <v>38</v>
      </c>
      <c r="BV8" s="23" t="s">
        <v>38</v>
      </c>
      <c r="BW8" s="23" t="s">
        <v>38</v>
      </c>
      <c r="BX8" s="23" t="s">
        <v>38</v>
      </c>
      <c r="BY8" s="92" t="s">
        <v>38</v>
      </c>
      <c r="BZ8" s="92"/>
      <c r="CA8" s="89" t="s">
        <v>38</v>
      </c>
    </row>
    <row r="9" spans="1:79">
      <c r="A9" s="21" t="s">
        <v>7</v>
      </c>
      <c r="B9" s="82">
        <v>254480.78639699999</v>
      </c>
      <c r="C9" s="82">
        <v>4505534.9529600004</v>
      </c>
      <c r="D9" s="19" t="s">
        <v>38</v>
      </c>
      <c r="E9" s="19" t="s">
        <v>38</v>
      </c>
      <c r="F9" s="19" t="s">
        <v>38</v>
      </c>
      <c r="G9" s="19" t="s">
        <v>38</v>
      </c>
      <c r="H9" s="19" t="s">
        <v>38</v>
      </c>
      <c r="I9" s="19" t="s">
        <v>38</v>
      </c>
      <c r="J9" s="19" t="s">
        <v>38</v>
      </c>
      <c r="K9" s="19" t="s">
        <v>38</v>
      </c>
      <c r="L9" s="19" t="s">
        <v>38</v>
      </c>
      <c r="M9" s="19" t="s">
        <v>38</v>
      </c>
      <c r="N9" s="23" t="s">
        <v>38</v>
      </c>
      <c r="O9" s="23" t="s">
        <v>38</v>
      </c>
      <c r="P9" s="23" t="s">
        <v>38</v>
      </c>
      <c r="Q9" s="23" t="s">
        <v>38</v>
      </c>
      <c r="R9" s="23" t="s">
        <v>38</v>
      </c>
      <c r="S9" s="23" t="s">
        <v>38</v>
      </c>
      <c r="T9" s="23" t="s">
        <v>38</v>
      </c>
      <c r="U9" s="23" t="s">
        <v>38</v>
      </c>
      <c r="V9" s="23" t="s">
        <v>38</v>
      </c>
      <c r="W9" s="23" t="s">
        <v>38</v>
      </c>
      <c r="X9" s="23" t="s">
        <v>38</v>
      </c>
      <c r="Y9" s="23" t="s">
        <v>38</v>
      </c>
      <c r="Z9" s="23" t="s">
        <v>38</v>
      </c>
      <c r="AA9" s="23" t="s">
        <v>38</v>
      </c>
      <c r="AB9" s="23" t="s">
        <v>38</v>
      </c>
      <c r="AC9" s="23" t="s">
        <v>38</v>
      </c>
      <c r="AD9" s="23" t="s">
        <v>38</v>
      </c>
      <c r="AE9" s="23" t="s">
        <v>38</v>
      </c>
      <c r="AF9" s="23" t="s">
        <v>38</v>
      </c>
      <c r="AG9" s="23" t="s">
        <v>38</v>
      </c>
      <c r="AH9" s="23" t="s">
        <v>38</v>
      </c>
      <c r="AI9" s="23" t="s">
        <v>38</v>
      </c>
      <c r="AJ9" s="23" t="s">
        <v>38</v>
      </c>
      <c r="AK9" s="23" t="s">
        <v>38</v>
      </c>
      <c r="AL9" s="23" t="s">
        <v>38</v>
      </c>
      <c r="AM9" s="23" t="s">
        <v>38</v>
      </c>
      <c r="AN9" s="23" t="s">
        <v>38</v>
      </c>
      <c r="AO9" s="23" t="s">
        <v>38</v>
      </c>
      <c r="AP9" s="23" t="s">
        <v>38</v>
      </c>
      <c r="AQ9" s="23" t="s">
        <v>38</v>
      </c>
      <c r="AR9" s="23" t="s">
        <v>38</v>
      </c>
      <c r="AS9" s="23" t="s">
        <v>38</v>
      </c>
      <c r="AT9" s="23" t="s">
        <v>38</v>
      </c>
      <c r="AU9" s="23" t="s">
        <v>38</v>
      </c>
      <c r="AV9" s="23" t="s">
        <v>38</v>
      </c>
      <c r="AW9" s="23" t="s">
        <v>38</v>
      </c>
      <c r="AX9" s="23" t="s">
        <v>38</v>
      </c>
      <c r="AY9" s="23" t="s">
        <v>38</v>
      </c>
      <c r="AZ9" s="23" t="s">
        <v>38</v>
      </c>
      <c r="BA9" s="23" t="s">
        <v>38</v>
      </c>
      <c r="BB9" s="23" t="s">
        <v>38</v>
      </c>
      <c r="BC9" s="23" t="s">
        <v>38</v>
      </c>
      <c r="BD9" s="23" t="s">
        <v>38</v>
      </c>
      <c r="BE9" s="23" t="s">
        <v>38</v>
      </c>
      <c r="BF9" s="23" t="s">
        <v>38</v>
      </c>
      <c r="BG9" s="23" t="s">
        <v>38</v>
      </c>
      <c r="BH9" s="23" t="s">
        <v>38</v>
      </c>
      <c r="BI9" s="23" t="s">
        <v>38</v>
      </c>
      <c r="BJ9" s="23" t="s">
        <v>38</v>
      </c>
      <c r="BK9" s="23" t="s">
        <v>38</v>
      </c>
      <c r="BL9" s="23" t="s">
        <v>38</v>
      </c>
      <c r="BM9" s="23" t="s">
        <v>38</v>
      </c>
      <c r="BN9" s="23" t="s">
        <v>38</v>
      </c>
      <c r="BO9" s="23" t="s">
        <v>38</v>
      </c>
      <c r="BP9" s="23" t="s">
        <v>38</v>
      </c>
      <c r="BQ9" s="23" t="s">
        <v>38</v>
      </c>
      <c r="BR9" s="23" t="s">
        <v>38</v>
      </c>
      <c r="BS9" s="23" t="s">
        <v>38</v>
      </c>
      <c r="BT9" s="23" t="s">
        <v>38</v>
      </c>
      <c r="BU9" s="23" t="s">
        <v>38</v>
      </c>
      <c r="BV9" s="23" t="s">
        <v>38</v>
      </c>
      <c r="BW9" s="23" t="s">
        <v>38</v>
      </c>
      <c r="BX9" s="23" t="s">
        <v>38</v>
      </c>
      <c r="BY9" s="92" t="s">
        <v>38</v>
      </c>
      <c r="BZ9" s="92"/>
      <c r="CA9" s="89" t="s">
        <v>38</v>
      </c>
    </row>
    <row r="10" spans="1:79">
      <c r="A10" s="21" t="s">
        <v>8</v>
      </c>
      <c r="B10" s="83">
        <v>254482.79284800001</v>
      </c>
      <c r="C10" s="83">
        <v>4505529.4775599996</v>
      </c>
      <c r="D10" s="19" t="s">
        <v>38</v>
      </c>
      <c r="E10" s="19" t="s">
        <v>38</v>
      </c>
      <c r="F10" s="19" t="s">
        <v>38</v>
      </c>
      <c r="G10" s="19" t="s">
        <v>38</v>
      </c>
      <c r="H10" s="19" t="s">
        <v>38</v>
      </c>
      <c r="I10" s="19" t="s">
        <v>38</v>
      </c>
      <c r="J10" s="19" t="s">
        <v>38</v>
      </c>
      <c r="K10" s="19" t="s">
        <v>38</v>
      </c>
      <c r="L10" s="19" t="s">
        <v>38</v>
      </c>
      <c r="M10" s="19" t="s">
        <v>38</v>
      </c>
      <c r="N10" s="23" t="s">
        <v>38</v>
      </c>
      <c r="O10" s="23" t="s">
        <v>38</v>
      </c>
      <c r="P10" s="23" t="s">
        <v>38</v>
      </c>
      <c r="Q10" s="23" t="s">
        <v>38</v>
      </c>
      <c r="R10" s="23" t="s">
        <v>38</v>
      </c>
      <c r="S10" s="23" t="s">
        <v>38</v>
      </c>
      <c r="T10" s="23" t="s">
        <v>38</v>
      </c>
      <c r="U10" s="23" t="s">
        <v>38</v>
      </c>
      <c r="V10" s="23" t="s">
        <v>38</v>
      </c>
      <c r="W10" s="23" t="s">
        <v>38</v>
      </c>
      <c r="X10" s="23" t="s">
        <v>38</v>
      </c>
      <c r="Y10" s="23" t="s">
        <v>38</v>
      </c>
      <c r="Z10" s="23" t="s">
        <v>38</v>
      </c>
      <c r="AA10" s="23" t="s">
        <v>38</v>
      </c>
      <c r="AB10" s="23" t="s">
        <v>38</v>
      </c>
      <c r="AC10" s="23" t="s">
        <v>38</v>
      </c>
      <c r="AD10" s="23" t="s">
        <v>38</v>
      </c>
      <c r="AE10" s="23" t="s">
        <v>38</v>
      </c>
      <c r="AF10" s="23" t="s">
        <v>38</v>
      </c>
      <c r="AG10" s="23" t="s">
        <v>38</v>
      </c>
      <c r="AH10" s="23" t="s">
        <v>38</v>
      </c>
      <c r="AI10" s="23" t="s">
        <v>38</v>
      </c>
      <c r="AJ10" s="23" t="s">
        <v>38</v>
      </c>
      <c r="AK10" s="23" t="s">
        <v>38</v>
      </c>
      <c r="AL10" s="23" t="s">
        <v>38</v>
      </c>
      <c r="AM10" s="23" t="s">
        <v>38</v>
      </c>
      <c r="AN10" s="23" t="s">
        <v>38</v>
      </c>
      <c r="AO10" s="23" t="s">
        <v>38</v>
      </c>
      <c r="AP10" s="23" t="s">
        <v>38</v>
      </c>
      <c r="AQ10" s="23" t="s">
        <v>38</v>
      </c>
      <c r="AR10" s="23" t="s">
        <v>38</v>
      </c>
      <c r="AS10" s="23" t="s">
        <v>38</v>
      </c>
      <c r="AT10" s="23" t="s">
        <v>38</v>
      </c>
      <c r="AU10" s="23" t="s">
        <v>38</v>
      </c>
      <c r="AV10" s="23" t="s">
        <v>38</v>
      </c>
      <c r="AW10" s="23" t="s">
        <v>38</v>
      </c>
      <c r="AX10" s="23" t="s">
        <v>38</v>
      </c>
      <c r="AY10" s="23" t="s">
        <v>38</v>
      </c>
      <c r="AZ10" s="23" t="s">
        <v>38</v>
      </c>
      <c r="BA10" s="23" t="s">
        <v>38</v>
      </c>
      <c r="BB10" s="23" t="s">
        <v>38</v>
      </c>
      <c r="BC10" s="23" t="s">
        <v>38</v>
      </c>
      <c r="BD10" s="23" t="s">
        <v>38</v>
      </c>
      <c r="BE10" s="23" t="s">
        <v>38</v>
      </c>
      <c r="BF10" s="23" t="s">
        <v>38</v>
      </c>
      <c r="BG10" s="23" t="s">
        <v>38</v>
      </c>
      <c r="BH10" s="23" t="s">
        <v>38</v>
      </c>
      <c r="BI10" s="23" t="s">
        <v>38</v>
      </c>
      <c r="BJ10" s="23" t="s">
        <v>38</v>
      </c>
      <c r="BK10" s="23" t="s">
        <v>38</v>
      </c>
      <c r="BL10" s="23" t="s">
        <v>38</v>
      </c>
      <c r="BM10" s="23" t="s">
        <v>38</v>
      </c>
      <c r="BN10" s="23" t="s">
        <v>38</v>
      </c>
      <c r="BO10" s="23" t="s">
        <v>38</v>
      </c>
      <c r="BP10" s="23" t="s">
        <v>38</v>
      </c>
      <c r="BQ10" s="23" t="s">
        <v>38</v>
      </c>
      <c r="BR10" s="23" t="s">
        <v>38</v>
      </c>
      <c r="BS10" s="23" t="s">
        <v>38</v>
      </c>
      <c r="BT10" s="23" t="s">
        <v>38</v>
      </c>
      <c r="BU10" s="23" t="s">
        <v>38</v>
      </c>
      <c r="BV10" s="23" t="s">
        <v>38</v>
      </c>
      <c r="BW10" s="23" t="s">
        <v>38</v>
      </c>
      <c r="BX10" s="23" t="s">
        <v>38</v>
      </c>
      <c r="BY10" s="92" t="s">
        <v>38</v>
      </c>
      <c r="BZ10" s="92"/>
      <c r="CA10" s="89" t="s">
        <v>38</v>
      </c>
    </row>
    <row r="11" spans="1:79">
      <c r="A11" s="21" t="s">
        <v>9</v>
      </c>
      <c r="B11" s="83">
        <v>254484.75221499999</v>
      </c>
      <c r="C11" s="83">
        <v>4505526.81066</v>
      </c>
      <c r="D11" s="19" t="s">
        <v>38</v>
      </c>
      <c r="E11" s="19" t="s">
        <v>38</v>
      </c>
      <c r="F11" s="19" t="s">
        <v>38</v>
      </c>
      <c r="G11" s="19" t="s">
        <v>38</v>
      </c>
      <c r="H11" s="19" t="s">
        <v>38</v>
      </c>
      <c r="I11" s="19" t="s">
        <v>38</v>
      </c>
      <c r="J11" s="19" t="s">
        <v>38</v>
      </c>
      <c r="K11" s="19" t="s">
        <v>38</v>
      </c>
      <c r="L11" s="19" t="s">
        <v>38</v>
      </c>
      <c r="M11" s="19" t="s">
        <v>38</v>
      </c>
      <c r="N11" s="23" t="s">
        <v>38</v>
      </c>
      <c r="O11" s="23" t="s">
        <v>38</v>
      </c>
      <c r="P11" s="23" t="s">
        <v>38</v>
      </c>
      <c r="Q11" s="23" t="s">
        <v>38</v>
      </c>
      <c r="R11" s="23" t="s">
        <v>38</v>
      </c>
      <c r="S11" s="23" t="s">
        <v>38</v>
      </c>
      <c r="T11" s="23" t="s">
        <v>38</v>
      </c>
      <c r="U11" s="23" t="s">
        <v>38</v>
      </c>
      <c r="V11" s="23" t="s">
        <v>38</v>
      </c>
      <c r="W11" s="23" t="s">
        <v>38</v>
      </c>
      <c r="X11" s="23" t="s">
        <v>38</v>
      </c>
      <c r="Y11" s="23" t="s">
        <v>38</v>
      </c>
      <c r="Z11" s="23" t="s">
        <v>38</v>
      </c>
      <c r="AA11" s="23" t="s">
        <v>38</v>
      </c>
      <c r="AB11" s="23" t="s">
        <v>38</v>
      </c>
      <c r="AC11" s="23" t="s">
        <v>38</v>
      </c>
      <c r="AD11" s="23" t="s">
        <v>38</v>
      </c>
      <c r="AE11" s="23" t="s">
        <v>38</v>
      </c>
      <c r="AF11" s="23" t="s">
        <v>38</v>
      </c>
      <c r="AG11" s="23" t="s">
        <v>38</v>
      </c>
      <c r="AH11" s="23" t="s">
        <v>38</v>
      </c>
      <c r="AI11" s="23" t="s">
        <v>38</v>
      </c>
      <c r="AJ11" s="23" t="s">
        <v>38</v>
      </c>
      <c r="AK11" s="23" t="s">
        <v>38</v>
      </c>
      <c r="AL11" s="23" t="s">
        <v>38</v>
      </c>
      <c r="AM11" s="23" t="s">
        <v>38</v>
      </c>
      <c r="AN11" s="23" t="s">
        <v>38</v>
      </c>
      <c r="AO11" s="23" t="s">
        <v>38</v>
      </c>
      <c r="AP11" s="23" t="s">
        <v>38</v>
      </c>
      <c r="AQ11" s="23" t="s">
        <v>38</v>
      </c>
      <c r="AR11" s="23" t="s">
        <v>38</v>
      </c>
      <c r="AS11" s="23" t="s">
        <v>38</v>
      </c>
      <c r="AT11" s="23" t="s">
        <v>38</v>
      </c>
      <c r="AU11" s="23" t="s">
        <v>38</v>
      </c>
      <c r="AV11" s="23" t="s">
        <v>38</v>
      </c>
      <c r="AW11" s="23" t="s">
        <v>38</v>
      </c>
      <c r="AX11" s="23" t="s">
        <v>38</v>
      </c>
      <c r="AY11" s="23" t="s">
        <v>38</v>
      </c>
      <c r="AZ11" s="23" t="s">
        <v>38</v>
      </c>
      <c r="BA11" s="23" t="s">
        <v>38</v>
      </c>
      <c r="BB11" s="23" t="s">
        <v>38</v>
      </c>
      <c r="BC11" s="23" t="s">
        <v>38</v>
      </c>
      <c r="BD11" s="23" t="s">
        <v>38</v>
      </c>
      <c r="BE11" s="23" t="s">
        <v>38</v>
      </c>
      <c r="BF11" s="23" t="s">
        <v>38</v>
      </c>
      <c r="BG11" s="23" t="s">
        <v>38</v>
      </c>
      <c r="BH11" s="23" t="s">
        <v>38</v>
      </c>
      <c r="BI11" s="23" t="s">
        <v>38</v>
      </c>
      <c r="BJ11" s="23" t="s">
        <v>38</v>
      </c>
      <c r="BK11" s="23" t="s">
        <v>38</v>
      </c>
      <c r="BL11" s="23" t="s">
        <v>38</v>
      </c>
      <c r="BM11" s="23" t="s">
        <v>38</v>
      </c>
      <c r="BN11" s="23" t="s">
        <v>38</v>
      </c>
      <c r="BO11" s="23" t="s">
        <v>38</v>
      </c>
      <c r="BP11" s="23" t="s">
        <v>38</v>
      </c>
      <c r="BQ11" s="23" t="s">
        <v>38</v>
      </c>
      <c r="BR11" s="23" t="s">
        <v>38</v>
      </c>
      <c r="BS11" s="23" t="s">
        <v>38</v>
      </c>
      <c r="BT11" s="23" t="s">
        <v>38</v>
      </c>
      <c r="BU11" s="23" t="s">
        <v>38</v>
      </c>
      <c r="BV11" s="23" t="s">
        <v>38</v>
      </c>
      <c r="BW11" s="23" t="s">
        <v>38</v>
      </c>
      <c r="BX11" s="23" t="s">
        <v>38</v>
      </c>
      <c r="BY11" s="92" t="s">
        <v>38</v>
      </c>
      <c r="BZ11" s="92"/>
      <c r="CA11" s="89" t="s">
        <v>38</v>
      </c>
    </row>
    <row r="12" spans="1:79">
      <c r="A12" s="21">
        <v>1</v>
      </c>
      <c r="B12" s="83">
        <v>254273.42219000001</v>
      </c>
      <c r="C12" s="83">
        <v>4505589.5737600001</v>
      </c>
      <c r="D12" s="19" t="s">
        <v>38</v>
      </c>
      <c r="E12" s="19" t="s">
        <v>38</v>
      </c>
      <c r="F12" s="19" t="s">
        <v>38</v>
      </c>
      <c r="G12" s="19" t="s">
        <v>38</v>
      </c>
      <c r="H12" s="19" t="s">
        <v>38</v>
      </c>
      <c r="I12" s="19" t="s">
        <v>38</v>
      </c>
      <c r="J12" s="19" t="s">
        <v>38</v>
      </c>
      <c r="K12" s="19" t="s">
        <v>38</v>
      </c>
      <c r="L12" s="19" t="s">
        <v>38</v>
      </c>
      <c r="M12" s="19" t="s">
        <v>38</v>
      </c>
      <c r="N12" s="23" t="s">
        <v>38</v>
      </c>
      <c r="O12" s="23" t="s">
        <v>38</v>
      </c>
      <c r="P12" s="23" t="s">
        <v>38</v>
      </c>
      <c r="Q12" s="23" t="s">
        <v>38</v>
      </c>
      <c r="R12" s="23" t="s">
        <v>38</v>
      </c>
      <c r="S12" s="23" t="s">
        <v>38</v>
      </c>
      <c r="T12" s="23" t="s">
        <v>38</v>
      </c>
      <c r="U12" s="23" t="s">
        <v>38</v>
      </c>
      <c r="V12" s="23" t="s">
        <v>38</v>
      </c>
      <c r="W12" s="23" t="s">
        <v>38</v>
      </c>
      <c r="X12" s="23" t="s">
        <v>38</v>
      </c>
      <c r="Y12" s="23" t="s">
        <v>38</v>
      </c>
      <c r="Z12" s="23" t="s">
        <v>38</v>
      </c>
      <c r="AA12" s="23" t="s">
        <v>38</v>
      </c>
      <c r="AB12" s="23" t="s">
        <v>38</v>
      </c>
      <c r="AC12" s="23" t="s">
        <v>38</v>
      </c>
      <c r="AD12" s="23" t="s">
        <v>38</v>
      </c>
      <c r="AE12" s="23" t="s">
        <v>38</v>
      </c>
      <c r="AF12" s="23" t="s">
        <v>38</v>
      </c>
      <c r="AG12" s="23" t="s">
        <v>38</v>
      </c>
      <c r="AH12" s="23" t="s">
        <v>38</v>
      </c>
      <c r="AI12" s="23" t="s">
        <v>38</v>
      </c>
      <c r="AJ12" s="23" t="s">
        <v>38</v>
      </c>
      <c r="AK12" s="23" t="s">
        <v>38</v>
      </c>
      <c r="AL12" s="23" t="s">
        <v>38</v>
      </c>
      <c r="AM12" s="23" t="s">
        <v>38</v>
      </c>
      <c r="AN12" s="23" t="s">
        <v>38</v>
      </c>
      <c r="AO12" s="23" t="s">
        <v>38</v>
      </c>
      <c r="AP12" s="23" t="s">
        <v>38</v>
      </c>
      <c r="AQ12" s="23" t="s">
        <v>38</v>
      </c>
      <c r="AR12" s="23" t="s">
        <v>38</v>
      </c>
      <c r="AS12" s="23" t="s">
        <v>38</v>
      </c>
      <c r="AT12" s="23" t="s">
        <v>38</v>
      </c>
      <c r="AU12" s="23" t="s">
        <v>38</v>
      </c>
      <c r="AV12" s="23" t="s">
        <v>38</v>
      </c>
      <c r="AW12" s="23" t="s">
        <v>38</v>
      </c>
      <c r="AX12" s="23" t="s">
        <v>38</v>
      </c>
      <c r="AY12" s="23" t="s">
        <v>38</v>
      </c>
      <c r="AZ12" s="23" t="s">
        <v>38</v>
      </c>
      <c r="BA12" s="23" t="s">
        <v>38</v>
      </c>
      <c r="BB12" s="23" t="s">
        <v>38</v>
      </c>
      <c r="BC12" s="23" t="s">
        <v>38</v>
      </c>
      <c r="BD12" s="23" t="s">
        <v>38</v>
      </c>
      <c r="BE12" s="23" t="s">
        <v>38</v>
      </c>
      <c r="BF12" s="23" t="s">
        <v>38</v>
      </c>
      <c r="BG12" s="23" t="s">
        <v>38</v>
      </c>
      <c r="BH12" s="23" t="s">
        <v>38</v>
      </c>
      <c r="BI12" s="23" t="s">
        <v>38</v>
      </c>
      <c r="BJ12" s="23" t="s">
        <v>38</v>
      </c>
      <c r="BK12" s="23" t="s">
        <v>38</v>
      </c>
      <c r="BL12" s="23" t="s">
        <v>38</v>
      </c>
      <c r="BM12" s="23" t="s">
        <v>38</v>
      </c>
      <c r="BN12" s="23" t="s">
        <v>38</v>
      </c>
      <c r="BO12" s="23" t="s">
        <v>38</v>
      </c>
      <c r="BP12" s="23" t="s">
        <v>38</v>
      </c>
      <c r="BQ12" s="23" t="s">
        <v>38</v>
      </c>
      <c r="BR12" s="23" t="s">
        <v>38</v>
      </c>
      <c r="BS12" s="23" t="s">
        <v>38</v>
      </c>
      <c r="BT12" s="23" t="s">
        <v>38</v>
      </c>
      <c r="BU12" s="23" t="s">
        <v>38</v>
      </c>
      <c r="BV12" s="23" t="s">
        <v>38</v>
      </c>
      <c r="BW12" s="23" t="s">
        <v>38</v>
      </c>
      <c r="BX12" s="23" t="s">
        <v>38</v>
      </c>
      <c r="BY12" s="92" t="s">
        <v>38</v>
      </c>
      <c r="BZ12" s="92"/>
      <c r="CA12" s="89" t="s">
        <v>38</v>
      </c>
    </row>
    <row r="13" spans="1:79">
      <c r="A13" s="21">
        <v>2</v>
      </c>
      <c r="B13" s="83">
        <v>254268.40893599999</v>
      </c>
      <c r="C13" s="83">
        <v>4505552.5855400003</v>
      </c>
      <c r="D13" s="19" t="s">
        <v>38</v>
      </c>
      <c r="E13" s="19" t="s">
        <v>38</v>
      </c>
      <c r="F13" s="19" t="s">
        <v>38</v>
      </c>
      <c r="G13" s="19" t="s">
        <v>38</v>
      </c>
      <c r="H13" s="19" t="s">
        <v>38</v>
      </c>
      <c r="I13" s="19" t="s">
        <v>38</v>
      </c>
      <c r="J13" s="19" t="s">
        <v>38</v>
      </c>
      <c r="K13" s="19" t="s">
        <v>38</v>
      </c>
      <c r="L13" s="19" t="s">
        <v>38</v>
      </c>
      <c r="M13" s="19" t="s">
        <v>38</v>
      </c>
      <c r="N13" s="23" t="s">
        <v>38</v>
      </c>
      <c r="O13" s="23" t="s">
        <v>38</v>
      </c>
      <c r="P13" s="23" t="s">
        <v>38</v>
      </c>
      <c r="Q13" s="23" t="s">
        <v>38</v>
      </c>
      <c r="R13" s="23" t="s">
        <v>38</v>
      </c>
      <c r="S13" s="23" t="s">
        <v>38</v>
      </c>
      <c r="T13" s="23" t="s">
        <v>38</v>
      </c>
      <c r="U13" s="23" t="s">
        <v>38</v>
      </c>
      <c r="V13" s="23" t="s">
        <v>38</v>
      </c>
      <c r="W13" s="23" t="s">
        <v>38</v>
      </c>
      <c r="X13" s="23" t="s">
        <v>38</v>
      </c>
      <c r="Y13" s="23" t="s">
        <v>38</v>
      </c>
      <c r="Z13" s="23" t="s">
        <v>38</v>
      </c>
      <c r="AA13" s="23" t="s">
        <v>38</v>
      </c>
      <c r="AB13" s="23" t="s">
        <v>38</v>
      </c>
      <c r="AC13" s="23" t="s">
        <v>38</v>
      </c>
      <c r="AD13" s="23" t="s">
        <v>38</v>
      </c>
      <c r="AE13" s="23" t="s">
        <v>38</v>
      </c>
      <c r="AF13" s="23" t="s">
        <v>38</v>
      </c>
      <c r="AG13" s="23" t="s">
        <v>38</v>
      </c>
      <c r="AH13" s="23" t="s">
        <v>38</v>
      </c>
      <c r="AI13" s="23" t="s">
        <v>38</v>
      </c>
      <c r="AJ13" s="23" t="s">
        <v>38</v>
      </c>
      <c r="AK13" s="23" t="s">
        <v>38</v>
      </c>
      <c r="AL13" s="23" t="s">
        <v>38</v>
      </c>
      <c r="AM13" s="23" t="s">
        <v>38</v>
      </c>
      <c r="AN13" s="23" t="s">
        <v>38</v>
      </c>
      <c r="AO13" s="23" t="s">
        <v>38</v>
      </c>
      <c r="AP13" s="23" t="s">
        <v>38</v>
      </c>
      <c r="AQ13" s="23" t="s">
        <v>38</v>
      </c>
      <c r="AR13" s="23" t="s">
        <v>38</v>
      </c>
      <c r="AS13" s="23" t="s">
        <v>38</v>
      </c>
      <c r="AT13" s="23" t="s">
        <v>38</v>
      </c>
      <c r="AU13" s="23" t="s">
        <v>38</v>
      </c>
      <c r="AV13" s="23" t="s">
        <v>38</v>
      </c>
      <c r="AW13" s="23" t="s">
        <v>38</v>
      </c>
      <c r="AX13" s="23" t="s">
        <v>38</v>
      </c>
      <c r="AY13" s="23" t="s">
        <v>38</v>
      </c>
      <c r="AZ13" s="23" t="s">
        <v>38</v>
      </c>
      <c r="BA13" s="23" t="s">
        <v>38</v>
      </c>
      <c r="BB13" s="23" t="s">
        <v>38</v>
      </c>
      <c r="BC13" s="23" t="s">
        <v>38</v>
      </c>
      <c r="BD13" s="23" t="s">
        <v>38</v>
      </c>
      <c r="BE13" s="23" t="s">
        <v>38</v>
      </c>
      <c r="BF13" s="23" t="s">
        <v>38</v>
      </c>
      <c r="BG13" s="23" t="s">
        <v>38</v>
      </c>
      <c r="BH13" s="23" t="s">
        <v>38</v>
      </c>
      <c r="BI13" s="23" t="s">
        <v>38</v>
      </c>
      <c r="BJ13" s="23" t="s">
        <v>38</v>
      </c>
      <c r="BK13" s="23" t="s">
        <v>38</v>
      </c>
      <c r="BL13" s="23" t="s">
        <v>38</v>
      </c>
      <c r="BM13" s="23" t="s">
        <v>38</v>
      </c>
      <c r="BN13" s="23" t="s">
        <v>38</v>
      </c>
      <c r="BO13" s="23" t="s">
        <v>38</v>
      </c>
      <c r="BP13" s="23" t="s">
        <v>38</v>
      </c>
      <c r="BQ13" s="23" t="s">
        <v>38</v>
      </c>
      <c r="BR13" s="23" t="s">
        <v>38</v>
      </c>
      <c r="BS13" s="23" t="s">
        <v>38</v>
      </c>
      <c r="BT13" s="23" t="s">
        <v>38</v>
      </c>
      <c r="BU13" s="23" t="s">
        <v>38</v>
      </c>
      <c r="BV13" s="23" t="s">
        <v>38</v>
      </c>
      <c r="BW13" s="23" t="s">
        <v>38</v>
      </c>
      <c r="BX13" s="23" t="s">
        <v>38</v>
      </c>
      <c r="BY13" s="92" t="s">
        <v>38</v>
      </c>
      <c r="BZ13" s="92"/>
      <c r="CA13" s="89" t="s">
        <v>38</v>
      </c>
    </row>
    <row r="14" spans="1:79">
      <c r="A14" s="21">
        <v>3</v>
      </c>
      <c r="B14" s="83">
        <v>254274.76034199999</v>
      </c>
      <c r="C14" s="83">
        <v>4505519.1361699998</v>
      </c>
      <c r="D14" s="19" t="s">
        <v>38</v>
      </c>
      <c r="E14" s="19" t="s">
        <v>38</v>
      </c>
      <c r="F14" s="19" t="s">
        <v>38</v>
      </c>
      <c r="G14" s="19" t="s">
        <v>38</v>
      </c>
      <c r="H14" s="19" t="s">
        <v>38</v>
      </c>
      <c r="I14" s="19" t="s">
        <v>38</v>
      </c>
      <c r="J14" s="19" t="s">
        <v>38</v>
      </c>
      <c r="K14" s="19" t="s">
        <v>38</v>
      </c>
      <c r="L14" s="19" t="s">
        <v>38</v>
      </c>
      <c r="M14" s="19" t="s">
        <v>38</v>
      </c>
      <c r="N14" s="23" t="s">
        <v>38</v>
      </c>
      <c r="O14" s="23" t="s">
        <v>38</v>
      </c>
      <c r="P14" s="23" t="s">
        <v>38</v>
      </c>
      <c r="Q14" s="23" t="s">
        <v>38</v>
      </c>
      <c r="R14" s="23" t="s">
        <v>38</v>
      </c>
      <c r="S14" s="23" t="s">
        <v>38</v>
      </c>
      <c r="T14" s="23" t="s">
        <v>38</v>
      </c>
      <c r="U14" s="23" t="s">
        <v>38</v>
      </c>
      <c r="V14" s="23" t="s">
        <v>38</v>
      </c>
      <c r="W14" s="23" t="s">
        <v>38</v>
      </c>
      <c r="X14" s="23" t="s">
        <v>38</v>
      </c>
      <c r="Y14" s="23" t="s">
        <v>38</v>
      </c>
      <c r="Z14" s="23" t="s">
        <v>38</v>
      </c>
      <c r="AA14" s="23" t="s">
        <v>38</v>
      </c>
      <c r="AB14" s="23" t="s">
        <v>38</v>
      </c>
      <c r="AC14" s="23" t="s">
        <v>38</v>
      </c>
      <c r="AD14" s="23" t="s">
        <v>38</v>
      </c>
      <c r="AE14" s="23" t="s">
        <v>38</v>
      </c>
      <c r="AF14" s="23" t="s">
        <v>38</v>
      </c>
      <c r="AG14" s="23" t="s">
        <v>38</v>
      </c>
      <c r="AH14" s="23" t="s">
        <v>38</v>
      </c>
      <c r="AI14" s="23" t="s">
        <v>38</v>
      </c>
      <c r="AJ14" s="23" t="s">
        <v>38</v>
      </c>
      <c r="AK14" s="23" t="s">
        <v>38</v>
      </c>
      <c r="AL14" s="23" t="s">
        <v>38</v>
      </c>
      <c r="AM14" s="23" t="s">
        <v>38</v>
      </c>
      <c r="AN14" s="23" t="s">
        <v>38</v>
      </c>
      <c r="AO14" s="23" t="s">
        <v>38</v>
      </c>
      <c r="AP14" s="23" t="s">
        <v>38</v>
      </c>
      <c r="AQ14" s="23" t="s">
        <v>38</v>
      </c>
      <c r="AR14" s="23" t="s">
        <v>38</v>
      </c>
      <c r="AS14" s="23" t="s">
        <v>38</v>
      </c>
      <c r="AT14" s="23" t="s">
        <v>38</v>
      </c>
      <c r="AU14" s="23" t="s">
        <v>38</v>
      </c>
      <c r="AV14" s="23" t="s">
        <v>38</v>
      </c>
      <c r="AW14" s="23" t="s">
        <v>38</v>
      </c>
      <c r="AX14" s="23" t="s">
        <v>38</v>
      </c>
      <c r="AY14" s="23" t="s">
        <v>38</v>
      </c>
      <c r="AZ14" s="23" t="s">
        <v>38</v>
      </c>
      <c r="BA14" s="23" t="s">
        <v>38</v>
      </c>
      <c r="BB14" s="23" t="s">
        <v>38</v>
      </c>
      <c r="BC14" s="23" t="s">
        <v>38</v>
      </c>
      <c r="BD14" s="23" t="s">
        <v>38</v>
      </c>
      <c r="BE14" s="23" t="s">
        <v>38</v>
      </c>
      <c r="BF14" s="23" t="s">
        <v>38</v>
      </c>
      <c r="BG14" s="23" t="s">
        <v>38</v>
      </c>
      <c r="BH14" s="23" t="s">
        <v>38</v>
      </c>
      <c r="BI14" s="23" t="s">
        <v>38</v>
      </c>
      <c r="BJ14" s="23" t="s">
        <v>38</v>
      </c>
      <c r="BK14" s="23" t="s">
        <v>38</v>
      </c>
      <c r="BL14" s="23" t="s">
        <v>38</v>
      </c>
      <c r="BM14" s="23" t="s">
        <v>38</v>
      </c>
      <c r="BN14" s="23" t="s">
        <v>38</v>
      </c>
      <c r="BO14" s="23" t="s">
        <v>38</v>
      </c>
      <c r="BP14" s="23" t="s">
        <v>38</v>
      </c>
      <c r="BQ14" s="23" t="s">
        <v>38</v>
      </c>
      <c r="BR14" s="23" t="s">
        <v>38</v>
      </c>
      <c r="BS14" s="23" t="s">
        <v>38</v>
      </c>
      <c r="BT14" s="23" t="s">
        <v>38</v>
      </c>
      <c r="BU14" s="23" t="s">
        <v>38</v>
      </c>
      <c r="BV14" s="23" t="s">
        <v>38</v>
      </c>
      <c r="BW14" s="23" t="s">
        <v>38</v>
      </c>
      <c r="BX14" s="23" t="s">
        <v>38</v>
      </c>
      <c r="BY14" s="92" t="s">
        <v>38</v>
      </c>
      <c r="BZ14" s="92"/>
      <c r="CA14" s="89" t="s">
        <v>38</v>
      </c>
    </row>
    <row r="15" spans="1:79">
      <c r="A15" s="21">
        <v>4</v>
      </c>
      <c r="B15" s="83">
        <v>254256.98182799999</v>
      </c>
      <c r="C15" s="83">
        <v>4505565.69778</v>
      </c>
      <c r="D15" s="19" t="s">
        <v>38</v>
      </c>
      <c r="E15" s="19" t="s">
        <v>38</v>
      </c>
      <c r="F15" s="19" t="s">
        <v>38</v>
      </c>
      <c r="G15" s="19" t="s">
        <v>38</v>
      </c>
      <c r="H15" s="19" t="s">
        <v>38</v>
      </c>
      <c r="I15" s="19" t="s">
        <v>38</v>
      </c>
      <c r="J15" s="19" t="s">
        <v>38</v>
      </c>
      <c r="K15" s="19" t="s">
        <v>38</v>
      </c>
      <c r="L15" s="19" t="s">
        <v>38</v>
      </c>
      <c r="M15" s="19" t="s">
        <v>38</v>
      </c>
      <c r="N15" s="23" t="s">
        <v>38</v>
      </c>
      <c r="O15" s="23" t="s">
        <v>38</v>
      </c>
      <c r="P15" s="23" t="s">
        <v>38</v>
      </c>
      <c r="Q15" s="23" t="s">
        <v>38</v>
      </c>
      <c r="R15" s="23" t="s">
        <v>38</v>
      </c>
      <c r="S15" s="23" t="s">
        <v>38</v>
      </c>
      <c r="T15" s="23" t="s">
        <v>38</v>
      </c>
      <c r="U15" s="23" t="s">
        <v>38</v>
      </c>
      <c r="V15" s="23" t="s">
        <v>38</v>
      </c>
      <c r="W15" s="23" t="s">
        <v>38</v>
      </c>
      <c r="X15" s="23" t="s">
        <v>38</v>
      </c>
      <c r="Y15" s="23" t="s">
        <v>38</v>
      </c>
      <c r="Z15" s="23" t="s">
        <v>38</v>
      </c>
      <c r="AA15" s="23" t="s">
        <v>38</v>
      </c>
      <c r="AB15" s="23" t="s">
        <v>38</v>
      </c>
      <c r="AC15" s="23" t="s">
        <v>38</v>
      </c>
      <c r="AD15" s="23" t="s">
        <v>38</v>
      </c>
      <c r="AE15" s="23" t="s">
        <v>38</v>
      </c>
      <c r="AF15" s="23" t="s">
        <v>38</v>
      </c>
      <c r="AG15" s="23" t="s">
        <v>38</v>
      </c>
      <c r="AH15" s="23" t="s">
        <v>38</v>
      </c>
      <c r="AI15" s="23" t="s">
        <v>38</v>
      </c>
      <c r="AJ15" s="23" t="s">
        <v>38</v>
      </c>
      <c r="AK15" s="23" t="s">
        <v>38</v>
      </c>
      <c r="AL15" s="23" t="s">
        <v>38</v>
      </c>
      <c r="AM15" s="23" t="s">
        <v>38</v>
      </c>
      <c r="AN15" s="23" t="s">
        <v>38</v>
      </c>
      <c r="AO15" s="23" t="s">
        <v>38</v>
      </c>
      <c r="AP15" s="23" t="s">
        <v>38</v>
      </c>
      <c r="AQ15" s="23" t="s">
        <v>38</v>
      </c>
      <c r="AR15" s="23" t="s">
        <v>38</v>
      </c>
      <c r="AS15" s="23" t="s">
        <v>38</v>
      </c>
      <c r="AT15" s="23" t="s">
        <v>38</v>
      </c>
      <c r="AU15" s="23" t="s">
        <v>38</v>
      </c>
      <c r="AV15" s="23" t="s">
        <v>38</v>
      </c>
      <c r="AW15" s="23" t="s">
        <v>38</v>
      </c>
      <c r="AX15" s="23" t="s">
        <v>38</v>
      </c>
      <c r="AY15" s="23" t="s">
        <v>38</v>
      </c>
      <c r="AZ15" s="23" t="s">
        <v>38</v>
      </c>
      <c r="BA15" s="23" t="s">
        <v>38</v>
      </c>
      <c r="BB15" s="23" t="s">
        <v>38</v>
      </c>
      <c r="BC15" s="23" t="s">
        <v>38</v>
      </c>
      <c r="BD15" s="23" t="s">
        <v>38</v>
      </c>
      <c r="BE15" s="23" t="s">
        <v>38</v>
      </c>
      <c r="BF15" s="23" t="s">
        <v>38</v>
      </c>
      <c r="BG15" s="23" t="s">
        <v>38</v>
      </c>
      <c r="BH15" s="23" t="s">
        <v>38</v>
      </c>
      <c r="BI15" s="23" t="s">
        <v>38</v>
      </c>
      <c r="BJ15" s="23" t="s">
        <v>38</v>
      </c>
      <c r="BK15" s="23" t="s">
        <v>38</v>
      </c>
      <c r="BL15" s="23" t="s">
        <v>38</v>
      </c>
      <c r="BM15" s="23" t="s">
        <v>38</v>
      </c>
      <c r="BN15" s="23" t="s">
        <v>38</v>
      </c>
      <c r="BO15" s="23" t="s">
        <v>38</v>
      </c>
      <c r="BP15" s="23" t="s">
        <v>38</v>
      </c>
      <c r="BQ15" s="23" t="s">
        <v>38</v>
      </c>
      <c r="BR15" s="23" t="s">
        <v>38</v>
      </c>
      <c r="BS15" s="23" t="s">
        <v>38</v>
      </c>
      <c r="BT15" s="23" t="s">
        <v>38</v>
      </c>
      <c r="BU15" s="23" t="s">
        <v>38</v>
      </c>
      <c r="BV15" s="23" t="s">
        <v>38</v>
      </c>
      <c r="BW15" s="23" t="s">
        <v>38</v>
      </c>
      <c r="BX15" s="23" t="s">
        <v>38</v>
      </c>
      <c r="BY15" s="92" t="s">
        <v>38</v>
      </c>
      <c r="BZ15" s="92"/>
      <c r="CA15" s="89" t="s">
        <v>38</v>
      </c>
    </row>
    <row r="16" spans="1:79">
      <c r="A16" s="21">
        <v>5</v>
      </c>
      <c r="B16" s="83">
        <v>254279.200835</v>
      </c>
      <c r="C16" s="83">
        <v>4505539.2380799996</v>
      </c>
      <c r="D16" s="19" t="s">
        <v>38</v>
      </c>
      <c r="E16" s="19" t="s">
        <v>38</v>
      </c>
      <c r="F16" s="19" t="s">
        <v>38</v>
      </c>
      <c r="G16" s="19" t="s">
        <v>38</v>
      </c>
      <c r="H16" s="19" t="s">
        <v>38</v>
      </c>
      <c r="I16" s="19" t="s">
        <v>38</v>
      </c>
      <c r="J16" s="19" t="s">
        <v>38</v>
      </c>
      <c r="K16" s="19" t="s">
        <v>38</v>
      </c>
      <c r="L16" s="19" t="s">
        <v>38</v>
      </c>
      <c r="M16" s="19" t="s">
        <v>38</v>
      </c>
      <c r="N16" s="23" t="s">
        <v>38</v>
      </c>
      <c r="O16" s="23" t="s">
        <v>38</v>
      </c>
      <c r="P16" s="23" t="s">
        <v>38</v>
      </c>
      <c r="Q16" s="23" t="s">
        <v>38</v>
      </c>
      <c r="R16" s="23" t="s">
        <v>38</v>
      </c>
      <c r="S16" s="23" t="s">
        <v>38</v>
      </c>
      <c r="T16" s="23" t="s">
        <v>38</v>
      </c>
      <c r="U16" s="23" t="s">
        <v>38</v>
      </c>
      <c r="V16" s="23" t="s">
        <v>38</v>
      </c>
      <c r="W16" s="23" t="s">
        <v>38</v>
      </c>
      <c r="X16" s="23" t="s">
        <v>38</v>
      </c>
      <c r="Y16" s="23" t="s">
        <v>38</v>
      </c>
      <c r="Z16" s="23" t="s">
        <v>38</v>
      </c>
      <c r="AA16" s="23" t="s">
        <v>38</v>
      </c>
      <c r="AB16" s="23" t="s">
        <v>38</v>
      </c>
      <c r="AC16" s="23" t="s">
        <v>38</v>
      </c>
      <c r="AD16" s="23" t="s">
        <v>38</v>
      </c>
      <c r="AE16" s="23" t="s">
        <v>38</v>
      </c>
      <c r="AF16" s="23" t="s">
        <v>38</v>
      </c>
      <c r="AG16" s="23" t="s">
        <v>38</v>
      </c>
      <c r="AH16" s="23" t="s">
        <v>38</v>
      </c>
      <c r="AI16" s="23" t="s">
        <v>38</v>
      </c>
      <c r="AJ16" s="23" t="s">
        <v>38</v>
      </c>
      <c r="AK16" s="23" t="s">
        <v>38</v>
      </c>
      <c r="AL16" s="23" t="s">
        <v>38</v>
      </c>
      <c r="AM16" s="23" t="s">
        <v>38</v>
      </c>
      <c r="AN16" s="23" t="s">
        <v>38</v>
      </c>
      <c r="AO16" s="23" t="s">
        <v>38</v>
      </c>
      <c r="AP16" s="23" t="s">
        <v>38</v>
      </c>
      <c r="AQ16" s="23" t="s">
        <v>38</v>
      </c>
      <c r="AR16" s="23" t="s">
        <v>38</v>
      </c>
      <c r="AS16" s="23" t="s">
        <v>38</v>
      </c>
      <c r="AT16" s="23" t="s">
        <v>38</v>
      </c>
      <c r="AU16" s="23" t="s">
        <v>38</v>
      </c>
      <c r="AV16" s="23" t="s">
        <v>38</v>
      </c>
      <c r="AW16" s="23" t="s">
        <v>38</v>
      </c>
      <c r="AX16" s="23" t="s">
        <v>38</v>
      </c>
      <c r="AY16" s="23" t="s">
        <v>38</v>
      </c>
      <c r="AZ16" s="23" t="s">
        <v>38</v>
      </c>
      <c r="BA16" s="23" t="s">
        <v>38</v>
      </c>
      <c r="BB16" s="23" t="s">
        <v>38</v>
      </c>
      <c r="BC16" s="23" t="s">
        <v>38</v>
      </c>
      <c r="BD16" s="23" t="s">
        <v>38</v>
      </c>
      <c r="BE16" s="23" t="s">
        <v>38</v>
      </c>
      <c r="BF16" s="23" t="s">
        <v>38</v>
      </c>
      <c r="BG16" s="23" t="s">
        <v>38</v>
      </c>
      <c r="BH16" s="23" t="s">
        <v>38</v>
      </c>
      <c r="BI16" s="23" t="s">
        <v>38</v>
      </c>
      <c r="BJ16" s="23" t="s">
        <v>38</v>
      </c>
      <c r="BK16" s="23" t="s">
        <v>38</v>
      </c>
      <c r="BL16" s="23" t="s">
        <v>38</v>
      </c>
      <c r="BM16" s="23" t="s">
        <v>38</v>
      </c>
      <c r="BN16" s="23" t="s">
        <v>38</v>
      </c>
      <c r="BO16" s="23" t="s">
        <v>38</v>
      </c>
      <c r="BP16" s="23" t="s">
        <v>38</v>
      </c>
      <c r="BQ16" s="23" t="s">
        <v>38</v>
      </c>
      <c r="BR16" s="23" t="s">
        <v>38</v>
      </c>
      <c r="BS16" s="23" t="s">
        <v>38</v>
      </c>
      <c r="BT16" s="23" t="s">
        <v>38</v>
      </c>
      <c r="BU16" s="23" t="s">
        <v>38</v>
      </c>
      <c r="BV16" s="23" t="s">
        <v>38</v>
      </c>
      <c r="BW16" s="23" t="s">
        <v>38</v>
      </c>
      <c r="BX16" s="23" t="s">
        <v>38</v>
      </c>
      <c r="BY16" s="92" t="s">
        <v>38</v>
      </c>
      <c r="BZ16" s="92"/>
      <c r="CA16" s="89" t="s">
        <v>38</v>
      </c>
    </row>
    <row r="17" spans="1:79">
      <c r="A17" s="21">
        <v>6</v>
      </c>
      <c r="B17" s="82">
        <v>254321.19506200001</v>
      </c>
      <c r="C17" s="82">
        <v>4505578.1072300002</v>
      </c>
      <c r="D17" s="19" t="s">
        <v>38</v>
      </c>
      <c r="E17" s="19">
        <v>0.34449999999999997</v>
      </c>
      <c r="F17" s="19">
        <v>0.36549999999999999</v>
      </c>
      <c r="G17" s="19">
        <v>0.40250000000000002</v>
      </c>
      <c r="H17" s="19" t="s">
        <v>38</v>
      </c>
      <c r="I17" s="19">
        <v>0.27500000000000002</v>
      </c>
      <c r="J17" s="19">
        <v>0.21299999999999999</v>
      </c>
      <c r="K17" s="19">
        <v>0.182</v>
      </c>
      <c r="L17" s="19">
        <v>0.23799999999999999</v>
      </c>
      <c r="M17" s="19">
        <v>0.1525</v>
      </c>
      <c r="N17" s="16">
        <v>0.19500000000000001</v>
      </c>
      <c r="O17" s="16">
        <v>0.1555</v>
      </c>
      <c r="P17" s="16">
        <v>0.15799999999999997</v>
      </c>
      <c r="Q17" s="16">
        <v>0.26500000000000001</v>
      </c>
      <c r="R17" s="16">
        <v>0.30349999999999999</v>
      </c>
      <c r="S17" s="16">
        <v>0.20850000000000002</v>
      </c>
      <c r="T17" s="36">
        <v>0.47699999999999998</v>
      </c>
      <c r="U17" s="36">
        <v>0.442</v>
      </c>
      <c r="V17" s="36">
        <v>0.50900000000000001</v>
      </c>
      <c r="W17" s="36">
        <v>0.56799999999999995</v>
      </c>
      <c r="X17" s="36">
        <v>0.35899999999999999</v>
      </c>
      <c r="Y17" s="36">
        <v>0.311</v>
      </c>
      <c r="Z17" s="36">
        <v>0.32600000000000001</v>
      </c>
      <c r="AA17" s="36">
        <v>0.40899999999999997</v>
      </c>
      <c r="AB17" s="36">
        <v>0.433</v>
      </c>
      <c r="AC17" s="23" t="s">
        <v>38</v>
      </c>
      <c r="AD17" s="36">
        <v>0.499</v>
      </c>
      <c r="AE17" s="36">
        <v>0.122</v>
      </c>
      <c r="AF17" s="36">
        <v>0.23</v>
      </c>
      <c r="AG17" s="36">
        <v>0.255</v>
      </c>
      <c r="AH17" s="36">
        <v>7.0000000000000007E-2</v>
      </c>
      <c r="AI17" s="36">
        <v>0.06</v>
      </c>
      <c r="AJ17" s="36">
        <v>0.20300000000000001</v>
      </c>
      <c r="AK17" s="36">
        <v>0.109</v>
      </c>
      <c r="AL17" s="36">
        <v>0.41899999999999998</v>
      </c>
      <c r="AM17" s="36">
        <v>0.14499999999999999</v>
      </c>
      <c r="AN17" s="36">
        <v>0.35899999999999999</v>
      </c>
      <c r="AO17" s="36">
        <v>0.25600000000000001</v>
      </c>
      <c r="AP17" s="36">
        <v>0.374</v>
      </c>
      <c r="AQ17" s="36">
        <v>0.32600000000000001</v>
      </c>
      <c r="AR17" s="36">
        <v>0.27500000000000002</v>
      </c>
      <c r="AS17" s="36">
        <v>0.26500000000000001</v>
      </c>
      <c r="AT17" s="36">
        <v>0.255</v>
      </c>
      <c r="AU17" s="36">
        <v>0.20799999999999999</v>
      </c>
      <c r="AV17" s="36">
        <v>0.2</v>
      </c>
      <c r="AW17" s="36">
        <v>0.156</v>
      </c>
      <c r="AX17" s="36">
        <v>0.14599999999999999</v>
      </c>
      <c r="AY17" s="36">
        <v>0.24</v>
      </c>
      <c r="AZ17" s="36">
        <v>0.215</v>
      </c>
      <c r="BA17" s="36">
        <v>0.27100000000000002</v>
      </c>
      <c r="BB17" s="23" t="s">
        <v>38</v>
      </c>
      <c r="BC17" s="36">
        <v>0.3145</v>
      </c>
      <c r="BD17" s="23" t="s">
        <v>38</v>
      </c>
      <c r="BE17" s="23" t="s">
        <v>38</v>
      </c>
      <c r="BF17" s="23" t="s">
        <v>38</v>
      </c>
      <c r="BG17" s="36">
        <v>0.34650000000000003</v>
      </c>
      <c r="BH17" s="38">
        <v>0.25850000000000001</v>
      </c>
      <c r="BI17" s="38">
        <v>0.316</v>
      </c>
      <c r="BJ17" s="38">
        <v>0.32050000000000001</v>
      </c>
      <c r="BK17" s="38">
        <v>0.32100000000000001</v>
      </c>
      <c r="BL17" s="38">
        <v>0.34550000000000003</v>
      </c>
      <c r="BM17" s="38">
        <v>0.35399999999999998</v>
      </c>
      <c r="BN17" s="23" t="s">
        <v>38</v>
      </c>
      <c r="BO17" s="40">
        <v>0.3725</v>
      </c>
      <c r="BP17" s="38">
        <v>0.30549999999999999</v>
      </c>
      <c r="BQ17" s="38">
        <v>0.24099999999999999</v>
      </c>
      <c r="BR17" s="41">
        <v>0.34099999999999997</v>
      </c>
      <c r="BS17" s="23" t="s">
        <v>38</v>
      </c>
      <c r="BT17" s="41">
        <v>0.2165</v>
      </c>
      <c r="BU17" s="23" t="s">
        <v>38</v>
      </c>
      <c r="BV17" s="41">
        <v>0.22649999999999998</v>
      </c>
      <c r="BW17" s="42">
        <v>0.27300000000000002</v>
      </c>
      <c r="BX17" s="42">
        <v>0.29249999999999998</v>
      </c>
      <c r="BY17" s="85">
        <f>(0.416+0.316)/2</f>
        <v>0.36599999999999999</v>
      </c>
      <c r="BZ17" s="85">
        <f>(0.525+0.502)/2</f>
        <v>0.51350000000000007</v>
      </c>
      <c r="CA17" s="89">
        <v>0.35449999999999998</v>
      </c>
    </row>
    <row r="18" spans="1:79">
      <c r="A18" s="21">
        <v>7</v>
      </c>
      <c r="B18" s="82">
        <v>254315.12577700001</v>
      </c>
      <c r="C18" s="82">
        <v>4505538.1711100005</v>
      </c>
      <c r="D18" s="19" t="s">
        <v>38</v>
      </c>
      <c r="E18" s="19">
        <v>0.17449999999999999</v>
      </c>
      <c r="F18" s="19">
        <v>0.186</v>
      </c>
      <c r="G18" s="19">
        <v>0.20950000000000002</v>
      </c>
      <c r="H18" s="19">
        <v>0.16799999999999998</v>
      </c>
      <c r="I18" s="19">
        <v>0.14849999999999999</v>
      </c>
      <c r="J18" s="19">
        <v>0.112</v>
      </c>
      <c r="K18" s="19">
        <v>8.5000000000000006E-2</v>
      </c>
      <c r="L18" s="19">
        <v>9.4E-2</v>
      </c>
      <c r="M18" s="19">
        <v>4.8500000000000001E-2</v>
      </c>
      <c r="N18" s="16">
        <v>0.10100000000000001</v>
      </c>
      <c r="O18" s="16">
        <v>6.0999999999999999E-2</v>
      </c>
      <c r="P18" s="16">
        <v>7.7499999999999999E-2</v>
      </c>
      <c r="Q18" s="16">
        <v>0.16049999999999998</v>
      </c>
      <c r="R18" s="16">
        <v>0.19500000000000001</v>
      </c>
      <c r="S18" s="16">
        <v>0.14399999999999999</v>
      </c>
      <c r="T18" s="36">
        <v>0.215</v>
      </c>
      <c r="U18" s="36">
        <v>0.223</v>
      </c>
      <c r="V18" s="36">
        <v>0.22700000000000001</v>
      </c>
      <c r="W18" s="36">
        <v>0.22</v>
      </c>
      <c r="X18" s="36">
        <v>0.17699999999999999</v>
      </c>
      <c r="Y18" s="36">
        <v>0.14799999999999999</v>
      </c>
      <c r="Z18" s="36">
        <v>0.17499999999999999</v>
      </c>
      <c r="AA18" s="36">
        <v>0.20300000000000001</v>
      </c>
      <c r="AB18" s="36">
        <v>0.22900000000000001</v>
      </c>
      <c r="AC18" s="36">
        <v>0.20899999999999999</v>
      </c>
      <c r="AD18" s="36">
        <v>0.21099999999999999</v>
      </c>
      <c r="AE18" s="36">
        <v>7.1999999999999995E-2</v>
      </c>
      <c r="AF18" s="36">
        <v>0.155</v>
      </c>
      <c r="AG18" s="36">
        <v>0.158</v>
      </c>
      <c r="AH18" s="36">
        <v>2.9000000000000001E-2</v>
      </c>
      <c r="AI18" s="36">
        <v>4.4999999999999998E-2</v>
      </c>
      <c r="AJ18" s="36">
        <v>6.2E-2</v>
      </c>
      <c r="AK18" s="36">
        <v>7.8E-2</v>
      </c>
      <c r="AL18" s="36">
        <v>0.23499999999999999</v>
      </c>
      <c r="AM18" s="36">
        <v>0.14299999999999999</v>
      </c>
      <c r="AN18" s="36">
        <v>0.19900000000000001</v>
      </c>
      <c r="AO18" s="36">
        <v>0.14499999999999999</v>
      </c>
      <c r="AP18" s="36">
        <v>0.152</v>
      </c>
      <c r="AQ18" s="36">
        <v>0.17499999999999999</v>
      </c>
      <c r="AR18" s="36">
        <v>0.13500000000000001</v>
      </c>
      <c r="AS18" s="36">
        <v>0.13600000000000001</v>
      </c>
      <c r="AT18" s="36">
        <v>0.124</v>
      </c>
      <c r="AU18" s="36">
        <v>0.114</v>
      </c>
      <c r="AV18" s="36">
        <v>9.7000000000000003E-2</v>
      </c>
      <c r="AW18" s="36">
        <v>7.2999999999999995E-2</v>
      </c>
      <c r="AX18" s="36">
        <v>7.3999999999999996E-2</v>
      </c>
      <c r="AY18" s="36">
        <v>0.111</v>
      </c>
      <c r="AZ18" s="36">
        <v>0.122</v>
      </c>
      <c r="BA18" s="36">
        <v>0.16</v>
      </c>
      <c r="BB18" s="23" t="s">
        <v>38</v>
      </c>
      <c r="BC18" s="36">
        <v>0.1515</v>
      </c>
      <c r="BD18" s="23" t="s">
        <v>38</v>
      </c>
      <c r="BE18" s="23" t="s">
        <v>38</v>
      </c>
      <c r="BF18" s="23" t="s">
        <v>38</v>
      </c>
      <c r="BG18" s="36">
        <v>0.19650000000000001</v>
      </c>
      <c r="BH18" s="38">
        <v>0.1565</v>
      </c>
      <c r="BI18" s="38">
        <v>0.18099999999999999</v>
      </c>
      <c r="BJ18" s="38">
        <v>0.1875</v>
      </c>
      <c r="BK18" s="38">
        <v>0.17949999999999999</v>
      </c>
      <c r="BL18" s="38">
        <v>0.17549999999999999</v>
      </c>
      <c r="BM18" s="38">
        <v>0.19850000000000001</v>
      </c>
      <c r="BN18" s="23" t="s">
        <v>38</v>
      </c>
      <c r="BO18" s="23" t="s">
        <v>38</v>
      </c>
      <c r="BP18" s="23" t="s">
        <v>38</v>
      </c>
      <c r="BQ18" s="38">
        <v>0.13400000000000001</v>
      </c>
      <c r="BR18" s="41">
        <v>0.16399999999999998</v>
      </c>
      <c r="BS18" s="23" t="s">
        <v>38</v>
      </c>
      <c r="BT18" s="41">
        <v>0.105</v>
      </c>
      <c r="BU18" s="23" t="s">
        <v>38</v>
      </c>
      <c r="BV18" s="41">
        <v>0.11149999999999999</v>
      </c>
      <c r="BW18" s="42">
        <v>0.1845</v>
      </c>
      <c r="BX18" s="42">
        <v>0.1835</v>
      </c>
      <c r="BY18" s="85">
        <f>(0.236+0.221)/2</f>
        <v>0.22849999999999998</v>
      </c>
      <c r="BZ18" s="85">
        <f>(0.281+0.277)/2</f>
        <v>0.27900000000000003</v>
      </c>
      <c r="CA18" s="89">
        <v>0.21199999999999999</v>
      </c>
    </row>
    <row r="19" spans="1:79">
      <c r="A19" s="21">
        <v>8</v>
      </c>
      <c r="B19" s="82">
        <v>254315.63247400001</v>
      </c>
      <c r="C19" s="82">
        <v>4505540.80064</v>
      </c>
      <c r="D19" s="19" t="s">
        <v>38</v>
      </c>
      <c r="E19" s="19">
        <v>0.224</v>
      </c>
      <c r="F19" s="19">
        <v>0.2215</v>
      </c>
      <c r="G19" s="19">
        <v>0.19400000000000001</v>
      </c>
      <c r="H19" s="19">
        <v>0.13200000000000001</v>
      </c>
      <c r="I19" s="19">
        <v>0.1295</v>
      </c>
      <c r="J19" s="19">
        <v>0.10300000000000001</v>
      </c>
      <c r="K19" s="19">
        <v>7.2499999999999995E-2</v>
      </c>
      <c r="L19" s="19">
        <v>0.1195</v>
      </c>
      <c r="M19" s="19">
        <v>5.0999999999999997E-2</v>
      </c>
      <c r="N19" s="16">
        <v>9.5000000000000001E-2</v>
      </c>
      <c r="O19" s="16">
        <v>4.7E-2</v>
      </c>
      <c r="P19" s="16">
        <v>7.4499999999999997E-2</v>
      </c>
      <c r="Q19" s="16">
        <v>0.151</v>
      </c>
      <c r="R19" s="23" t="s">
        <v>38</v>
      </c>
      <c r="S19" s="16">
        <v>0.17899999999999999</v>
      </c>
      <c r="T19" s="36">
        <v>0.23899999999999999</v>
      </c>
      <c r="U19" s="36">
        <v>0.25</v>
      </c>
      <c r="V19" s="36">
        <v>0.23699999999999999</v>
      </c>
      <c r="W19" s="36">
        <v>0.20899999999999999</v>
      </c>
      <c r="X19" s="36">
        <v>0.16</v>
      </c>
      <c r="Y19" s="36">
        <v>0.121</v>
      </c>
      <c r="Z19" s="36">
        <v>0.154</v>
      </c>
      <c r="AA19" s="36">
        <v>0.16900000000000001</v>
      </c>
      <c r="AB19" s="36">
        <v>0.253</v>
      </c>
      <c r="AC19" s="36">
        <v>0.23</v>
      </c>
      <c r="AD19" s="36">
        <v>0.24</v>
      </c>
      <c r="AE19" s="36">
        <v>0.02</v>
      </c>
      <c r="AF19" s="36">
        <v>0.16600000000000001</v>
      </c>
      <c r="AG19" s="36">
        <v>0.13600000000000001</v>
      </c>
      <c r="AH19" s="36">
        <v>2.5000000000000001E-2</v>
      </c>
      <c r="AI19" s="36" t="s">
        <v>38</v>
      </c>
      <c r="AJ19" s="36">
        <v>6.3E-2</v>
      </c>
      <c r="AK19" s="36">
        <v>9.8000000000000004E-2</v>
      </c>
      <c r="AL19" s="36">
        <v>0.23599999999999999</v>
      </c>
      <c r="AM19" s="36">
        <v>0.12</v>
      </c>
      <c r="AN19" s="36">
        <v>0.24299999999999999</v>
      </c>
      <c r="AO19" s="36">
        <v>0.16200000000000001</v>
      </c>
      <c r="AP19" s="36">
        <v>0.20200000000000001</v>
      </c>
      <c r="AQ19" s="36">
        <v>0.156</v>
      </c>
      <c r="AR19" s="36">
        <v>0.14399999999999999</v>
      </c>
      <c r="AS19" s="36">
        <v>0.13300000000000001</v>
      </c>
      <c r="AT19" s="36">
        <v>0.13800000000000001</v>
      </c>
      <c r="AU19" s="36">
        <v>0.11899999999999999</v>
      </c>
      <c r="AV19" s="36">
        <v>7.8E-2</v>
      </c>
      <c r="AW19" s="36">
        <v>6.2E-2</v>
      </c>
      <c r="AX19" s="36">
        <v>7.6999999999999999E-2</v>
      </c>
      <c r="AY19" s="36">
        <v>0.14499999999999999</v>
      </c>
      <c r="AZ19" s="36">
        <v>0.13200000000000001</v>
      </c>
      <c r="BA19" s="36">
        <v>0.156</v>
      </c>
      <c r="BB19" s="23" t="s">
        <v>38</v>
      </c>
      <c r="BC19" s="36" t="s">
        <v>38</v>
      </c>
      <c r="BD19" s="23" t="s">
        <v>38</v>
      </c>
      <c r="BE19" s="23" t="s">
        <v>38</v>
      </c>
      <c r="BF19" s="23" t="s">
        <v>38</v>
      </c>
      <c r="BG19" s="36">
        <v>0.19800000000000001</v>
      </c>
      <c r="BH19" s="38">
        <v>0.16399999999999998</v>
      </c>
      <c r="BI19" s="38">
        <v>0.19700000000000001</v>
      </c>
      <c r="BJ19" s="38">
        <v>0.22949999999999998</v>
      </c>
      <c r="BK19" s="38">
        <v>0.20300000000000001</v>
      </c>
      <c r="BL19" s="38">
        <v>0.23299999999999998</v>
      </c>
      <c r="BM19" s="38">
        <v>0.20100000000000001</v>
      </c>
      <c r="BN19" s="23" t="s">
        <v>38</v>
      </c>
      <c r="BO19" s="40">
        <v>0.1525</v>
      </c>
      <c r="BP19" s="38">
        <v>0.19450000000000001</v>
      </c>
      <c r="BQ19" s="38">
        <v>0.124</v>
      </c>
      <c r="BR19" s="41">
        <v>0.1575</v>
      </c>
      <c r="BS19" s="23" t="s">
        <v>38</v>
      </c>
      <c r="BT19" s="41">
        <v>0.11</v>
      </c>
      <c r="BU19" s="23" t="s">
        <v>38</v>
      </c>
      <c r="BV19" s="41">
        <v>0.11799999999999999</v>
      </c>
      <c r="BW19" s="42">
        <v>0.18</v>
      </c>
      <c r="BX19" s="42">
        <v>0.16849999999999998</v>
      </c>
      <c r="BY19" s="85">
        <f>(0.208+0.25)/2</f>
        <v>0.22899999999999998</v>
      </c>
      <c r="BZ19" s="85">
        <f>(0.32+0.297)/2</f>
        <v>0.3085</v>
      </c>
      <c r="CA19" s="89">
        <v>0.22750000000000001</v>
      </c>
    </row>
    <row r="20" spans="1:79">
      <c r="A20" s="21">
        <v>9</v>
      </c>
      <c r="B20" s="82">
        <v>254318.80336600001</v>
      </c>
      <c r="C20" s="82">
        <v>4505533.64805</v>
      </c>
      <c r="D20" s="19" t="s">
        <v>38</v>
      </c>
      <c r="E20" s="19">
        <v>0.24299999999999999</v>
      </c>
      <c r="F20" s="19">
        <v>0.249</v>
      </c>
      <c r="G20" s="19">
        <v>0.25750000000000001</v>
      </c>
      <c r="H20" s="19">
        <v>0.19</v>
      </c>
      <c r="I20" s="19">
        <v>0.1845</v>
      </c>
      <c r="J20" s="19">
        <v>0.1565</v>
      </c>
      <c r="K20" s="19">
        <v>0.1</v>
      </c>
      <c r="L20" s="19">
        <v>0.17149999999999999</v>
      </c>
      <c r="M20" s="19">
        <v>8.5000000000000006E-2</v>
      </c>
      <c r="N20" s="16">
        <v>0.14349999999999999</v>
      </c>
      <c r="O20" s="16">
        <v>0.109</v>
      </c>
      <c r="P20" s="16">
        <v>0.11349999999999999</v>
      </c>
      <c r="Q20" s="16">
        <v>0.192</v>
      </c>
      <c r="R20" s="23" t="s">
        <v>38</v>
      </c>
      <c r="S20" s="16">
        <v>0.191</v>
      </c>
      <c r="T20" s="36">
        <v>0.25</v>
      </c>
      <c r="U20" s="36">
        <v>0.24299999999999999</v>
      </c>
      <c r="V20" s="36">
        <v>0.26700000000000002</v>
      </c>
      <c r="W20" s="36">
        <v>0.25</v>
      </c>
      <c r="X20" s="36">
        <v>0.20200000000000001</v>
      </c>
      <c r="Y20" s="36">
        <v>0.158</v>
      </c>
      <c r="Z20" s="36">
        <v>0.183</v>
      </c>
      <c r="AA20" s="36">
        <v>0.20599999999999999</v>
      </c>
      <c r="AB20" s="36">
        <v>0.26600000000000001</v>
      </c>
      <c r="AC20" s="36">
        <v>0.24099999999999999</v>
      </c>
      <c r="AD20" s="36">
        <v>0.27100000000000002</v>
      </c>
      <c r="AE20" s="36">
        <v>0.13100000000000001</v>
      </c>
      <c r="AF20" s="36">
        <v>0.17899999999999999</v>
      </c>
      <c r="AG20" s="36">
        <v>0.20100000000000001</v>
      </c>
      <c r="AH20" s="36">
        <v>7.2999999999999995E-2</v>
      </c>
      <c r="AI20" s="36">
        <v>7.6999999999999999E-2</v>
      </c>
      <c r="AJ20" s="36">
        <v>0.14099999999999999</v>
      </c>
      <c r="AK20" s="36">
        <v>0.125</v>
      </c>
      <c r="AL20" s="36">
        <v>0.28100000000000003</v>
      </c>
      <c r="AM20" s="36">
        <v>0.128</v>
      </c>
      <c r="AN20" s="36">
        <v>0.23100000000000001</v>
      </c>
      <c r="AO20" s="36">
        <v>0.16200000000000001</v>
      </c>
      <c r="AP20" s="36">
        <v>0.193</v>
      </c>
      <c r="AQ20" s="36">
        <v>0.23300000000000001</v>
      </c>
      <c r="AR20" s="36">
        <v>0.20399999999999999</v>
      </c>
      <c r="AS20" s="36">
        <v>0.188</v>
      </c>
      <c r="AT20" s="36">
        <v>0.192</v>
      </c>
      <c r="AU20" s="36">
        <v>0.151</v>
      </c>
      <c r="AV20" s="36">
        <v>0.128</v>
      </c>
      <c r="AW20" s="36">
        <v>0.105</v>
      </c>
      <c r="AX20" s="36">
        <v>0.107</v>
      </c>
      <c r="AY20" s="36">
        <v>0.22</v>
      </c>
      <c r="AZ20" s="36">
        <v>0.17699999999999999</v>
      </c>
      <c r="BA20" s="36">
        <v>0.215</v>
      </c>
      <c r="BB20" s="23" t="s">
        <v>38</v>
      </c>
      <c r="BC20" s="36" t="s">
        <v>38</v>
      </c>
      <c r="BD20" s="23" t="s">
        <v>38</v>
      </c>
      <c r="BE20" s="23" t="s">
        <v>38</v>
      </c>
      <c r="BF20" s="23" t="s">
        <v>38</v>
      </c>
      <c r="BG20" s="36">
        <v>0.21300000000000002</v>
      </c>
      <c r="BH20" s="38">
        <v>0.16899999999999998</v>
      </c>
      <c r="BI20" s="38">
        <v>0.20050000000000001</v>
      </c>
      <c r="BJ20" s="38">
        <v>0.21099999999999999</v>
      </c>
      <c r="BK20" s="38">
        <v>0.2135</v>
      </c>
      <c r="BL20" s="38">
        <v>0.23050000000000001</v>
      </c>
      <c r="BM20" s="38">
        <v>0.23799999999999999</v>
      </c>
      <c r="BN20" s="23" t="s">
        <v>38</v>
      </c>
      <c r="BO20" s="40">
        <v>0.2515</v>
      </c>
      <c r="BP20" s="38">
        <v>0.255</v>
      </c>
      <c r="BQ20" s="38">
        <v>0.17899999999999999</v>
      </c>
      <c r="BR20" s="41">
        <v>0.19700000000000001</v>
      </c>
      <c r="BS20" s="23" t="s">
        <v>38</v>
      </c>
      <c r="BT20" s="41">
        <v>0.14749999999999999</v>
      </c>
      <c r="BU20" s="23" t="s">
        <v>38</v>
      </c>
      <c r="BV20" s="41">
        <v>0.14399999999999999</v>
      </c>
      <c r="BW20" s="42">
        <v>0.22750000000000001</v>
      </c>
      <c r="BX20" s="42">
        <v>0.2205</v>
      </c>
      <c r="BY20" s="85">
        <f>(0.266+0.274)/2</f>
        <v>0.27</v>
      </c>
      <c r="BZ20" s="85">
        <f>(0.327+0.332)/2</f>
        <v>0.32950000000000002</v>
      </c>
      <c r="CA20" s="89">
        <v>0.251</v>
      </c>
    </row>
    <row r="21" spans="1:79">
      <c r="A21" s="21">
        <v>10</v>
      </c>
      <c r="B21" s="82">
        <v>254304.411941</v>
      </c>
      <c r="C21" s="82">
        <v>4505533.3200700004</v>
      </c>
      <c r="D21" s="19" t="s">
        <v>38</v>
      </c>
      <c r="E21" s="19">
        <v>0.2195</v>
      </c>
      <c r="F21" s="19">
        <v>0.23</v>
      </c>
      <c r="G21" s="19">
        <v>0.23100000000000001</v>
      </c>
      <c r="H21" s="19">
        <v>0.16750000000000001</v>
      </c>
      <c r="I21" s="19">
        <v>0.16549999999999998</v>
      </c>
      <c r="J21" s="19">
        <v>0.13100000000000001</v>
      </c>
      <c r="K21" s="19">
        <v>8.5999999999999993E-2</v>
      </c>
      <c r="L21" s="19">
        <v>0.14149999999999999</v>
      </c>
      <c r="M21" s="19">
        <v>7.3000000000000009E-2</v>
      </c>
      <c r="N21" s="16">
        <v>0.1295</v>
      </c>
      <c r="O21" s="16">
        <v>7.7499999999999999E-2</v>
      </c>
      <c r="P21" s="16">
        <v>7.7499999999999999E-2</v>
      </c>
      <c r="Q21" s="16">
        <v>0.17549999999999999</v>
      </c>
      <c r="R21" s="16">
        <v>0.19600000000000001</v>
      </c>
      <c r="S21" s="16">
        <v>0.16549999999999998</v>
      </c>
      <c r="T21" s="36">
        <v>0.23200000000000001</v>
      </c>
      <c r="U21" s="36">
        <v>0.22600000000000001</v>
      </c>
      <c r="V21" s="36">
        <v>0.245</v>
      </c>
      <c r="W21" s="36">
        <v>0.22800000000000001</v>
      </c>
      <c r="X21" s="36">
        <v>0.20399999999999999</v>
      </c>
      <c r="Y21" s="36">
        <v>0.17699999999999999</v>
      </c>
      <c r="Z21" s="36">
        <v>0.20599999999999999</v>
      </c>
      <c r="AA21" s="36">
        <v>0.21099999999999999</v>
      </c>
      <c r="AB21" s="36">
        <v>0.245</v>
      </c>
      <c r="AC21" s="36">
        <v>0.23699999999999999</v>
      </c>
      <c r="AD21" s="36">
        <v>0.23</v>
      </c>
      <c r="AE21" s="36">
        <v>7.6999999999999999E-2</v>
      </c>
      <c r="AF21" s="36">
        <v>0.14899999999999999</v>
      </c>
      <c r="AG21" s="36">
        <v>0.13800000000000001</v>
      </c>
      <c r="AH21" s="36">
        <v>5.3999999999999999E-2</v>
      </c>
      <c r="AI21" s="36">
        <v>4.8000000000000001E-2</v>
      </c>
      <c r="AJ21" s="36">
        <v>0.104</v>
      </c>
      <c r="AK21" s="36">
        <v>0.112</v>
      </c>
      <c r="AL21" s="36">
        <v>0.24199999999999999</v>
      </c>
      <c r="AM21" s="36">
        <v>0.14199999999999999</v>
      </c>
      <c r="AN21" s="36">
        <v>0.22700000000000001</v>
      </c>
      <c r="AO21" s="36">
        <v>0.16</v>
      </c>
      <c r="AP21" s="36">
        <v>0.153</v>
      </c>
      <c r="AQ21" s="36">
        <v>0.223</v>
      </c>
      <c r="AR21" s="36">
        <v>0.17599999999999999</v>
      </c>
      <c r="AS21" s="36">
        <v>0.16</v>
      </c>
      <c r="AT21" s="36">
        <v>0.155</v>
      </c>
      <c r="AU21" s="36">
        <v>0.128</v>
      </c>
      <c r="AV21" s="36">
        <v>0.115</v>
      </c>
      <c r="AW21" s="36">
        <v>8.4000000000000005E-2</v>
      </c>
      <c r="AX21" s="36">
        <v>8.4000000000000005E-2</v>
      </c>
      <c r="AY21" s="36">
        <v>0.19400000000000001</v>
      </c>
      <c r="AZ21" s="36">
        <v>0.16300000000000001</v>
      </c>
      <c r="BA21" s="36">
        <v>0.183</v>
      </c>
      <c r="BB21" s="23" t="s">
        <v>38</v>
      </c>
      <c r="BC21" s="36">
        <v>0.17899999999999999</v>
      </c>
      <c r="BD21" s="23" t="s">
        <v>38</v>
      </c>
      <c r="BE21" s="23" t="s">
        <v>38</v>
      </c>
      <c r="BF21" s="23" t="s">
        <v>38</v>
      </c>
      <c r="BG21" s="36">
        <v>0.22</v>
      </c>
      <c r="BH21" s="38">
        <v>0.183</v>
      </c>
      <c r="BI21" s="38">
        <v>0.20649999999999999</v>
      </c>
      <c r="BJ21" s="38">
        <v>0.20200000000000001</v>
      </c>
      <c r="BK21" s="38">
        <v>0.21099999999999999</v>
      </c>
      <c r="BL21" s="38">
        <v>0.2135</v>
      </c>
      <c r="BM21" s="38">
        <v>0.20949999999999999</v>
      </c>
      <c r="BN21" s="23" t="s">
        <v>38</v>
      </c>
      <c r="BO21" s="40">
        <v>0.21299999999999999</v>
      </c>
      <c r="BP21" s="38">
        <v>0.247</v>
      </c>
      <c r="BQ21" s="38">
        <v>0.14849999999999999</v>
      </c>
      <c r="BR21" s="41">
        <v>0.19650000000000001</v>
      </c>
      <c r="BS21" s="23" t="s">
        <v>38</v>
      </c>
      <c r="BT21" s="41">
        <v>0.1295</v>
      </c>
      <c r="BU21" s="23" t="s">
        <v>38</v>
      </c>
      <c r="BV21" s="41">
        <v>0.13150000000000001</v>
      </c>
      <c r="BW21" s="42">
        <v>0.22450000000000001</v>
      </c>
      <c r="BX21" s="42">
        <v>0.23649999999999999</v>
      </c>
      <c r="BY21" s="85">
        <f>(0.21+0.242)/2</f>
        <v>0.22599999999999998</v>
      </c>
      <c r="BZ21" s="85">
        <f>(0.32+0.319)/2</f>
        <v>0.31950000000000001</v>
      </c>
      <c r="CA21" s="89">
        <v>0.2165</v>
      </c>
    </row>
    <row r="22" spans="1:79">
      <c r="A22" s="21">
        <v>11</v>
      </c>
      <c r="B22" s="82">
        <v>254377.22509600001</v>
      </c>
      <c r="C22" s="82">
        <v>4505568.8344999999</v>
      </c>
      <c r="D22" s="19" t="s">
        <v>38</v>
      </c>
      <c r="E22" s="19" t="s">
        <v>38</v>
      </c>
      <c r="F22" s="19" t="s">
        <v>38</v>
      </c>
      <c r="G22" s="19" t="s">
        <v>38</v>
      </c>
      <c r="H22" s="19" t="s">
        <v>38</v>
      </c>
      <c r="I22" s="19" t="s">
        <v>38</v>
      </c>
      <c r="J22" s="19" t="s">
        <v>38</v>
      </c>
      <c r="K22" s="19" t="s">
        <v>38</v>
      </c>
      <c r="L22" s="19" t="s">
        <v>38</v>
      </c>
      <c r="M22" s="19" t="s">
        <v>38</v>
      </c>
      <c r="N22" s="23" t="s">
        <v>38</v>
      </c>
      <c r="O22" s="23" t="s">
        <v>38</v>
      </c>
      <c r="P22" s="23" t="s">
        <v>38</v>
      </c>
      <c r="Q22" s="23" t="s">
        <v>38</v>
      </c>
      <c r="R22" s="23" t="s">
        <v>38</v>
      </c>
      <c r="S22" s="23" t="s">
        <v>38</v>
      </c>
      <c r="T22" s="36">
        <v>0.34499999999999997</v>
      </c>
      <c r="U22" s="36">
        <v>0.36</v>
      </c>
      <c r="V22" s="36">
        <v>0.35199999999999998</v>
      </c>
      <c r="W22" s="36">
        <v>0.35899999999999999</v>
      </c>
      <c r="X22" s="36">
        <v>0.27900000000000003</v>
      </c>
      <c r="Y22" s="36">
        <v>0.21099999999999999</v>
      </c>
      <c r="Z22" s="36">
        <v>0.27400000000000002</v>
      </c>
      <c r="AA22" s="36">
        <v>0.29799999999999999</v>
      </c>
      <c r="AB22" s="36">
        <v>0.34499999999999997</v>
      </c>
      <c r="AC22" s="36">
        <v>0.21199999999999999</v>
      </c>
      <c r="AD22" s="36">
        <v>0.33600000000000002</v>
      </c>
      <c r="AE22" s="36">
        <v>8.1000000000000003E-2</v>
      </c>
      <c r="AF22" s="36">
        <v>0.20100000000000001</v>
      </c>
      <c r="AG22" s="36">
        <v>0.185</v>
      </c>
      <c r="AH22" s="36">
        <v>7.4999999999999997E-2</v>
      </c>
      <c r="AI22" s="36">
        <v>6.4000000000000001E-2</v>
      </c>
      <c r="AJ22" s="36">
        <v>0.16200000000000001</v>
      </c>
      <c r="AK22" s="36">
        <v>0.223</v>
      </c>
      <c r="AL22" s="36">
        <v>0.33600000000000002</v>
      </c>
      <c r="AM22" s="36">
        <v>0.14699999999999999</v>
      </c>
      <c r="AN22" s="36">
        <v>0.29899999999999999</v>
      </c>
      <c r="AO22" s="36">
        <v>0.216</v>
      </c>
      <c r="AP22" s="36">
        <v>0.28199999999999997</v>
      </c>
      <c r="AQ22" s="36">
        <v>0.25</v>
      </c>
      <c r="AR22" s="36">
        <v>0.20399999999999999</v>
      </c>
      <c r="AS22" s="36">
        <v>0.19900000000000001</v>
      </c>
      <c r="AT22" s="36">
        <v>0.19700000000000001</v>
      </c>
      <c r="AU22" s="36">
        <v>0.17299999999999999</v>
      </c>
      <c r="AV22" s="36">
        <v>0.14699999999999999</v>
      </c>
      <c r="AW22" s="36">
        <v>0.105</v>
      </c>
      <c r="AX22" s="36">
        <v>0.109</v>
      </c>
      <c r="AY22" s="36">
        <v>0.20200000000000001</v>
      </c>
      <c r="AZ22" s="36">
        <v>0.16400000000000001</v>
      </c>
      <c r="BA22" s="36">
        <v>0.19</v>
      </c>
      <c r="BB22" s="37">
        <v>0.13300000000000001</v>
      </c>
      <c r="BC22" s="36" t="s">
        <v>38</v>
      </c>
      <c r="BD22" s="23" t="s">
        <v>38</v>
      </c>
      <c r="BE22" s="23" t="s">
        <v>38</v>
      </c>
      <c r="BF22" s="23" t="s">
        <v>38</v>
      </c>
      <c r="BG22" s="36">
        <v>0.22799999999999998</v>
      </c>
      <c r="BH22" s="38">
        <v>0.2225</v>
      </c>
      <c r="BI22" s="38">
        <v>0.246</v>
      </c>
      <c r="BJ22" s="38">
        <v>0.26100000000000001</v>
      </c>
      <c r="BK22" s="38">
        <v>0.2205</v>
      </c>
      <c r="BL22" s="38">
        <v>0.26600000000000001</v>
      </c>
      <c r="BM22" s="38">
        <v>0.28249999999999997</v>
      </c>
      <c r="BN22" s="23" t="s">
        <v>38</v>
      </c>
      <c r="BO22" s="40">
        <v>0.25600000000000001</v>
      </c>
      <c r="BP22" s="38">
        <v>0.27650000000000002</v>
      </c>
      <c r="BQ22" s="38" t="s">
        <v>38</v>
      </c>
      <c r="BR22" s="41" t="s">
        <v>38</v>
      </c>
      <c r="BS22" s="23" t="s">
        <v>38</v>
      </c>
      <c r="BT22" s="41" t="s">
        <v>38</v>
      </c>
      <c r="BU22" s="23" t="s">
        <v>38</v>
      </c>
      <c r="BV22" s="41" t="s">
        <v>38</v>
      </c>
      <c r="BW22" s="42" t="s">
        <v>38</v>
      </c>
      <c r="BX22" s="42" t="s">
        <v>38</v>
      </c>
      <c r="BY22" s="85">
        <f>(0.267+0.258)/2</f>
        <v>0.26250000000000001</v>
      </c>
      <c r="BZ22" s="85">
        <v>0.26700000000000002</v>
      </c>
      <c r="CA22" s="89">
        <v>0.38200000000000001</v>
      </c>
    </row>
    <row r="23" spans="1:79">
      <c r="A23" s="21">
        <v>12</v>
      </c>
      <c r="B23" s="82">
        <v>254378.35348799999</v>
      </c>
      <c r="C23" s="82">
        <v>4505539.32706</v>
      </c>
      <c r="D23" s="19" t="s">
        <v>38</v>
      </c>
      <c r="E23" s="19">
        <v>0.28399999999999997</v>
      </c>
      <c r="F23" s="19">
        <v>0.27350000000000002</v>
      </c>
      <c r="G23" s="19">
        <v>0.28149999999999997</v>
      </c>
      <c r="H23" s="19">
        <v>0.2235</v>
      </c>
      <c r="I23" s="19">
        <v>0.1865</v>
      </c>
      <c r="J23" s="19">
        <v>0.1575</v>
      </c>
      <c r="K23" s="19">
        <v>0.111</v>
      </c>
      <c r="L23" s="19">
        <v>0.187</v>
      </c>
      <c r="M23" s="19">
        <v>0.10249999999999999</v>
      </c>
      <c r="N23" s="16">
        <v>0.13750000000000001</v>
      </c>
      <c r="O23" s="16">
        <v>9.6500000000000002E-2</v>
      </c>
      <c r="P23" s="16">
        <v>0.11349999999999999</v>
      </c>
      <c r="Q23" s="16">
        <v>0.19450000000000001</v>
      </c>
      <c r="R23" s="16">
        <v>0.21299999999999999</v>
      </c>
      <c r="S23" s="16">
        <v>0.182</v>
      </c>
      <c r="T23" s="36">
        <v>0.28999999999999998</v>
      </c>
      <c r="U23" s="36">
        <v>0.3</v>
      </c>
      <c r="V23" s="36">
        <v>0.312</v>
      </c>
      <c r="W23" s="36">
        <v>0.32400000000000001</v>
      </c>
      <c r="X23" s="36">
        <v>0.28699999999999998</v>
      </c>
      <c r="Y23" s="36">
        <v>0.23499999999999999</v>
      </c>
      <c r="Z23" s="36">
        <v>0.25600000000000001</v>
      </c>
      <c r="AA23" s="36">
        <v>0.27800000000000002</v>
      </c>
      <c r="AB23" s="36">
        <v>0.28599999999999998</v>
      </c>
      <c r="AC23" s="36">
        <v>0.23599999999999999</v>
      </c>
      <c r="AD23" s="36">
        <v>0.311</v>
      </c>
      <c r="AE23" s="36">
        <v>0.112</v>
      </c>
      <c r="AF23" s="36">
        <v>0.17799999999999999</v>
      </c>
      <c r="AG23" s="36">
        <v>0.191</v>
      </c>
      <c r="AH23" s="36">
        <v>4.7E-2</v>
      </c>
      <c r="AI23" s="36">
        <v>6.4000000000000001E-2</v>
      </c>
      <c r="AJ23" s="36">
        <v>0.129</v>
      </c>
      <c r="AK23" s="36">
        <v>0.124</v>
      </c>
      <c r="AL23" s="36">
        <v>0.30399999999999999</v>
      </c>
      <c r="AM23" s="36">
        <v>0.188</v>
      </c>
      <c r="AN23" s="36">
        <v>0.26300000000000001</v>
      </c>
      <c r="AO23" s="36">
        <v>0.17799999999999999</v>
      </c>
      <c r="AP23" s="36">
        <v>0.23300000000000001</v>
      </c>
      <c r="AQ23" s="36">
        <v>0.222</v>
      </c>
      <c r="AR23" s="36">
        <v>0.20699999999999999</v>
      </c>
      <c r="AS23" s="36">
        <v>0.19500000000000001</v>
      </c>
      <c r="AT23" s="36">
        <v>0.20599999999999999</v>
      </c>
      <c r="AU23" s="36">
        <v>0.16900000000000001</v>
      </c>
      <c r="AV23" s="36">
        <v>0.13600000000000001</v>
      </c>
      <c r="AW23" s="36">
        <v>0.114</v>
      </c>
      <c r="AX23" s="36">
        <v>0.115</v>
      </c>
      <c r="AY23" s="36">
        <v>0.25</v>
      </c>
      <c r="AZ23" s="36">
        <v>0.16900000000000001</v>
      </c>
      <c r="BA23" s="36">
        <v>0.219</v>
      </c>
      <c r="BB23" s="37" t="s">
        <v>38</v>
      </c>
      <c r="BC23" s="36">
        <v>0.20850000000000002</v>
      </c>
      <c r="BD23" s="23" t="s">
        <v>38</v>
      </c>
      <c r="BE23" s="23" t="s">
        <v>38</v>
      </c>
      <c r="BF23" s="23" t="s">
        <v>38</v>
      </c>
      <c r="BG23" s="36">
        <v>0.2505</v>
      </c>
      <c r="BH23" s="38">
        <v>0.21299999999999999</v>
      </c>
      <c r="BI23" s="38">
        <v>0.2455</v>
      </c>
      <c r="BJ23" s="38">
        <v>0.246</v>
      </c>
      <c r="BK23" s="38">
        <v>0.246</v>
      </c>
      <c r="BL23" s="38">
        <v>0.2515</v>
      </c>
      <c r="BM23" s="38">
        <v>0.26050000000000001</v>
      </c>
      <c r="BN23" s="23" t="s">
        <v>38</v>
      </c>
      <c r="BO23" s="40">
        <v>0.26050000000000001</v>
      </c>
      <c r="BP23" s="38">
        <v>0.26550000000000001</v>
      </c>
      <c r="BQ23" s="38">
        <v>0.16250000000000001</v>
      </c>
      <c r="BR23" s="41">
        <v>0.19650000000000001</v>
      </c>
      <c r="BS23" s="23" t="s">
        <v>38</v>
      </c>
      <c r="BT23" s="41">
        <v>0.1555</v>
      </c>
      <c r="BU23" s="23" t="s">
        <v>38</v>
      </c>
      <c r="BV23" s="41">
        <v>0.158</v>
      </c>
      <c r="BW23" s="42">
        <v>0.21450000000000002</v>
      </c>
      <c r="BX23" s="42">
        <v>0.20250000000000001</v>
      </c>
      <c r="BY23" s="85">
        <f>(0.298+0.32)/2</f>
        <v>0.309</v>
      </c>
      <c r="BZ23" s="85">
        <f>(0.258+0.261)/2</f>
        <v>0.25950000000000001</v>
      </c>
      <c r="CA23" s="89">
        <v>0.39450000000000002</v>
      </c>
    </row>
    <row r="24" spans="1:79">
      <c r="A24" s="21">
        <v>13</v>
      </c>
      <c r="B24" s="82">
        <v>254394.38724800001</v>
      </c>
      <c r="C24" s="82">
        <v>4505500.7558800001</v>
      </c>
      <c r="D24" s="19" t="s">
        <v>38</v>
      </c>
      <c r="E24" s="19">
        <v>0.154</v>
      </c>
      <c r="F24" s="19">
        <v>0.1615</v>
      </c>
      <c r="G24" s="19">
        <v>0.16799999999999998</v>
      </c>
      <c r="H24" s="19">
        <v>0.105</v>
      </c>
      <c r="I24" s="19">
        <v>0.13800000000000001</v>
      </c>
      <c r="J24" s="19">
        <v>0.11449999999999999</v>
      </c>
      <c r="K24" s="19">
        <v>2.8000000000000001E-2</v>
      </c>
      <c r="L24" s="19">
        <v>0.13900000000000001</v>
      </c>
      <c r="M24" s="19">
        <v>2.1499999999999998E-2</v>
      </c>
      <c r="N24" s="16">
        <v>0.10600000000000001</v>
      </c>
      <c r="O24" s="16">
        <v>5.2000000000000005E-2</v>
      </c>
      <c r="P24" s="16">
        <v>5.8499999999999996E-2</v>
      </c>
      <c r="Q24" s="16">
        <v>0.13300000000000001</v>
      </c>
      <c r="R24" s="23" t="s">
        <v>38</v>
      </c>
      <c r="S24" s="16">
        <v>9.8000000000000004E-2</v>
      </c>
      <c r="T24" s="36">
        <v>0.23</v>
      </c>
      <c r="U24" s="36">
        <v>0.224</v>
      </c>
      <c r="V24" s="36">
        <v>0.25800000000000001</v>
      </c>
      <c r="W24" s="36">
        <v>0.22700000000000001</v>
      </c>
      <c r="X24" s="36">
        <v>0.184</v>
      </c>
      <c r="Y24" s="36">
        <v>0.17599999999999999</v>
      </c>
      <c r="Z24" s="36">
        <v>0.20799999999999999</v>
      </c>
      <c r="AA24" s="36">
        <v>0.24299999999999999</v>
      </c>
      <c r="AB24" s="36">
        <v>0.23599999999999999</v>
      </c>
      <c r="AC24" s="36">
        <v>0.214</v>
      </c>
      <c r="AD24" s="36">
        <v>0.24399999999999999</v>
      </c>
      <c r="AE24" s="36">
        <v>4.5999999999999999E-2</v>
      </c>
      <c r="AF24" s="36">
        <v>0.19400000000000001</v>
      </c>
      <c r="AG24" s="36">
        <v>0.19400000000000001</v>
      </c>
      <c r="AH24" s="36">
        <v>5.6000000000000001E-2</v>
      </c>
      <c r="AI24" s="36">
        <v>5.7000000000000002E-2</v>
      </c>
      <c r="AJ24" s="36">
        <v>0.127</v>
      </c>
      <c r="AK24" s="36">
        <v>0.112</v>
      </c>
      <c r="AL24" s="36">
        <v>0.27500000000000002</v>
      </c>
      <c r="AM24" s="36">
        <v>0.15</v>
      </c>
      <c r="AN24" s="36">
        <v>0.222</v>
      </c>
      <c r="AO24" s="36">
        <v>0.14099999999999999</v>
      </c>
      <c r="AP24" s="36">
        <v>0.22700000000000001</v>
      </c>
      <c r="AQ24" s="36">
        <v>0.24099999999999999</v>
      </c>
      <c r="AR24" s="36">
        <v>0.189</v>
      </c>
      <c r="AS24" s="36">
        <v>0.17299999999999999</v>
      </c>
      <c r="AT24" s="36">
        <v>0.17799999999999999</v>
      </c>
      <c r="AU24" s="36">
        <v>0.13300000000000001</v>
      </c>
      <c r="AV24" s="36">
        <v>0.11600000000000001</v>
      </c>
      <c r="AW24" s="36">
        <v>7.2999999999999995E-2</v>
      </c>
      <c r="AX24" s="36">
        <v>0.106</v>
      </c>
      <c r="AY24" s="36">
        <v>0.224</v>
      </c>
      <c r="AZ24" s="36">
        <v>0.18099999999999999</v>
      </c>
      <c r="BA24" s="36">
        <v>0.183</v>
      </c>
      <c r="BB24" s="37" t="s">
        <v>38</v>
      </c>
      <c r="BC24" s="36">
        <v>0.20600000000000002</v>
      </c>
      <c r="BD24" s="23" t="s">
        <v>38</v>
      </c>
      <c r="BE24" s="23" t="s">
        <v>38</v>
      </c>
      <c r="BF24" s="23" t="s">
        <v>38</v>
      </c>
      <c r="BG24" s="36">
        <v>0.17849999999999999</v>
      </c>
      <c r="BH24" s="38">
        <v>0.1215</v>
      </c>
      <c r="BI24" s="38">
        <v>0.1605</v>
      </c>
      <c r="BJ24" s="38">
        <v>0.17599999999999999</v>
      </c>
      <c r="BK24" s="38">
        <v>0.14000000000000001</v>
      </c>
      <c r="BL24" s="38">
        <v>0.1875</v>
      </c>
      <c r="BM24" s="38">
        <v>0.17499999999999999</v>
      </c>
      <c r="BN24" s="23" t="s">
        <v>38</v>
      </c>
      <c r="BO24" s="40">
        <v>0.17349999999999999</v>
      </c>
      <c r="BP24" s="38">
        <v>0.215</v>
      </c>
      <c r="BQ24" s="38">
        <v>0.15350000000000003</v>
      </c>
      <c r="BR24" s="41">
        <v>0.17849999999999999</v>
      </c>
      <c r="BS24" s="23" t="s">
        <v>38</v>
      </c>
      <c r="BT24" s="41">
        <v>0.13450000000000001</v>
      </c>
      <c r="BU24" s="23" t="s">
        <v>38</v>
      </c>
      <c r="BV24" s="41">
        <v>0.13</v>
      </c>
      <c r="BW24" s="42">
        <v>0.17599999999999999</v>
      </c>
      <c r="BX24" s="42">
        <v>0.17849999999999999</v>
      </c>
      <c r="BY24" s="85" t="s">
        <v>38</v>
      </c>
      <c r="BZ24" s="85">
        <f>(0.189+0.183)/2</f>
        <v>0.186</v>
      </c>
      <c r="CA24" s="89" t="s">
        <v>38</v>
      </c>
    </row>
    <row r="25" spans="1:79">
      <c r="A25" s="21">
        <v>14</v>
      </c>
      <c r="B25" s="82">
        <v>254403.568317</v>
      </c>
      <c r="C25" s="82">
        <v>4505486.8415299999</v>
      </c>
      <c r="D25" s="19" t="s">
        <v>38</v>
      </c>
      <c r="E25" s="19">
        <v>0.22600000000000001</v>
      </c>
      <c r="F25" s="19">
        <v>0.23200000000000001</v>
      </c>
      <c r="G25" s="19">
        <v>0.23949999999999999</v>
      </c>
      <c r="H25" s="19">
        <v>0.1845</v>
      </c>
      <c r="I25" s="19">
        <v>0.1555</v>
      </c>
      <c r="J25" s="19">
        <v>0.11749999999999999</v>
      </c>
      <c r="K25" s="19">
        <v>8.2500000000000004E-2</v>
      </c>
      <c r="L25" s="19">
        <v>0.17649999999999999</v>
      </c>
      <c r="M25" s="19">
        <v>7.9000000000000001E-2</v>
      </c>
      <c r="N25" s="16">
        <v>0.14050000000000001</v>
      </c>
      <c r="O25" s="16">
        <v>9.0999999999999998E-2</v>
      </c>
      <c r="P25" s="16">
        <v>0.1045</v>
      </c>
      <c r="Q25" s="16">
        <v>0.20400000000000001</v>
      </c>
      <c r="R25" s="16">
        <v>0.20900000000000002</v>
      </c>
      <c r="S25" s="16">
        <v>0.17949999999999999</v>
      </c>
      <c r="T25" s="36">
        <v>0.219</v>
      </c>
      <c r="U25" s="36">
        <v>0.20100000000000001</v>
      </c>
      <c r="V25" s="36">
        <v>0.23</v>
      </c>
      <c r="W25" s="36">
        <v>0.20100000000000001</v>
      </c>
      <c r="X25" s="36">
        <v>0.16</v>
      </c>
      <c r="Y25" s="36">
        <v>0.13800000000000001</v>
      </c>
      <c r="Z25" s="36">
        <v>0.17</v>
      </c>
      <c r="AA25" s="36">
        <v>0.23400000000000001</v>
      </c>
      <c r="AB25" s="36">
        <v>0.247</v>
      </c>
      <c r="AC25" s="36">
        <v>0.23</v>
      </c>
      <c r="AD25" s="36">
        <v>0.24199999999999999</v>
      </c>
      <c r="AE25" s="36">
        <v>7.5999999999999998E-2</v>
      </c>
      <c r="AF25" s="36">
        <v>0.14799999999999999</v>
      </c>
      <c r="AG25" s="36">
        <v>0.2</v>
      </c>
      <c r="AH25" s="36">
        <v>5.3999999999999999E-2</v>
      </c>
      <c r="AI25" s="36">
        <v>7.1999999999999995E-2</v>
      </c>
      <c r="AJ25" s="36">
        <v>0.14699999999999999</v>
      </c>
      <c r="AK25" s="36">
        <v>0.111</v>
      </c>
      <c r="AL25" s="36">
        <v>0.25</v>
      </c>
      <c r="AM25" s="36">
        <v>0.152</v>
      </c>
      <c r="AN25" s="36">
        <v>0.191</v>
      </c>
      <c r="AO25" s="36">
        <v>0.156</v>
      </c>
      <c r="AP25" s="36">
        <v>0.156</v>
      </c>
      <c r="AQ25" s="36">
        <v>0.182</v>
      </c>
      <c r="AR25" s="36">
        <v>0.13400000000000001</v>
      </c>
      <c r="AS25" s="36">
        <v>0.13300000000000001</v>
      </c>
      <c r="AT25" s="36">
        <v>0.14799999999999999</v>
      </c>
      <c r="AU25" s="36">
        <v>0.105</v>
      </c>
      <c r="AV25" s="36">
        <v>0.107</v>
      </c>
      <c r="AW25" s="36">
        <v>9.8000000000000004E-2</v>
      </c>
      <c r="AX25" s="36">
        <v>9.8000000000000004E-2</v>
      </c>
      <c r="AY25" s="36">
        <v>0.20100000000000001</v>
      </c>
      <c r="AZ25" s="36">
        <v>0.14799999999999999</v>
      </c>
      <c r="BA25" s="36">
        <v>0.19400000000000001</v>
      </c>
      <c r="BB25" s="37" t="s">
        <v>38</v>
      </c>
      <c r="BC25" s="36">
        <v>0.1555</v>
      </c>
      <c r="BD25" s="23" t="s">
        <v>38</v>
      </c>
      <c r="BE25" s="23" t="s">
        <v>38</v>
      </c>
      <c r="BF25" s="23" t="s">
        <v>38</v>
      </c>
      <c r="BG25" s="36">
        <v>0.20849999999999999</v>
      </c>
      <c r="BH25" s="38">
        <v>0.16949999999999998</v>
      </c>
      <c r="BI25" s="38">
        <v>0.20650000000000002</v>
      </c>
      <c r="BJ25" s="38">
        <v>0.20450000000000002</v>
      </c>
      <c r="BK25" s="38">
        <v>0.17966666666666667</v>
      </c>
      <c r="BL25" s="38">
        <v>0.20150000000000001</v>
      </c>
      <c r="BM25" s="38">
        <v>0.21099999999999999</v>
      </c>
      <c r="BN25" s="23" t="s">
        <v>38</v>
      </c>
      <c r="BO25" s="40">
        <v>0.19350000000000001</v>
      </c>
      <c r="BP25" s="38">
        <v>0.21199999999999999</v>
      </c>
      <c r="BQ25" s="38">
        <v>0.13600000000000001</v>
      </c>
      <c r="BR25" s="41">
        <v>0.17799999999999999</v>
      </c>
      <c r="BS25" s="23" t="s">
        <v>38</v>
      </c>
      <c r="BT25" s="41">
        <v>0.124</v>
      </c>
      <c r="BU25" s="23" t="s">
        <v>38</v>
      </c>
      <c r="BV25" s="41">
        <v>0.13850000000000001</v>
      </c>
      <c r="BW25" s="42">
        <v>0.193</v>
      </c>
      <c r="BX25" s="42">
        <v>0.17149999999999999</v>
      </c>
      <c r="BY25" s="85">
        <f>(0.282+0.261)/2</f>
        <v>0.27149999999999996</v>
      </c>
      <c r="BZ25" s="85">
        <f>(0.275+0.256)/2</f>
        <v>0.26550000000000001</v>
      </c>
      <c r="CA25" s="89" t="s">
        <v>38</v>
      </c>
    </row>
    <row r="26" spans="1:79">
      <c r="A26" s="21">
        <v>15</v>
      </c>
      <c r="B26" s="82">
        <v>254457.11685300001</v>
      </c>
      <c r="C26" s="82">
        <v>4505584.8307699999</v>
      </c>
      <c r="D26" s="19">
        <v>0.311</v>
      </c>
      <c r="E26" s="19">
        <v>0.29199999999999998</v>
      </c>
      <c r="F26" s="19">
        <v>0.317</v>
      </c>
      <c r="G26" s="19">
        <v>0.32550000000000001</v>
      </c>
      <c r="H26" s="19" t="s">
        <v>38</v>
      </c>
      <c r="I26" s="19">
        <v>0.28499999999999998</v>
      </c>
      <c r="J26" s="19">
        <v>0.24349999999999999</v>
      </c>
      <c r="K26" s="19">
        <v>0.14749999999999999</v>
      </c>
      <c r="L26" s="19" t="s">
        <v>38</v>
      </c>
      <c r="M26" s="19" t="s">
        <v>38</v>
      </c>
      <c r="N26" s="23" t="s">
        <v>38</v>
      </c>
      <c r="O26" s="16">
        <v>0.13900000000000001</v>
      </c>
      <c r="P26" s="23" t="s">
        <v>38</v>
      </c>
      <c r="Q26" s="23" t="s">
        <v>38</v>
      </c>
      <c r="R26" s="23" t="s">
        <v>38</v>
      </c>
      <c r="S26" s="23" t="s">
        <v>38</v>
      </c>
      <c r="T26" s="36">
        <v>0.49199999999999999</v>
      </c>
      <c r="U26" s="36">
        <v>0.46800000000000003</v>
      </c>
      <c r="V26" s="36">
        <v>0.57799999999999996</v>
      </c>
      <c r="W26" s="36">
        <v>0.628</v>
      </c>
      <c r="X26" s="36">
        <v>0.38800000000000001</v>
      </c>
      <c r="Y26" s="36">
        <v>0.308</v>
      </c>
      <c r="Z26" s="36">
        <v>0.439</v>
      </c>
      <c r="AA26" s="36">
        <v>0.42</v>
      </c>
      <c r="AB26" s="36">
        <v>0.56799999999999995</v>
      </c>
      <c r="AC26" s="36">
        <v>0.45900000000000002</v>
      </c>
      <c r="AD26" s="36">
        <v>0.39600000000000002</v>
      </c>
      <c r="AE26" s="36">
        <v>0.438</v>
      </c>
      <c r="AF26" s="36">
        <v>0.318</v>
      </c>
      <c r="AG26" s="36">
        <v>0.246</v>
      </c>
      <c r="AH26" s="36">
        <v>0.21299999999999999</v>
      </c>
      <c r="AI26" s="36">
        <v>0.216</v>
      </c>
      <c r="AJ26" s="36">
        <v>0.23400000000000001</v>
      </c>
      <c r="AK26" s="36">
        <v>0.184</v>
      </c>
      <c r="AL26" s="36">
        <v>0.40600000000000003</v>
      </c>
      <c r="AM26" s="36">
        <v>0.20699999999999999</v>
      </c>
      <c r="AN26" s="36">
        <v>0.33800000000000002</v>
      </c>
      <c r="AO26" s="36">
        <v>0.27300000000000002</v>
      </c>
      <c r="AP26" s="36">
        <v>0.29799999999999999</v>
      </c>
      <c r="AQ26" s="36">
        <v>0.308</v>
      </c>
      <c r="AR26" s="36">
        <v>0.30099999999999999</v>
      </c>
      <c r="AS26" s="36">
        <v>0.28299999999999997</v>
      </c>
      <c r="AT26" s="36" t="s">
        <v>38</v>
      </c>
      <c r="AU26" s="36">
        <v>0.23</v>
      </c>
      <c r="AV26" s="36" t="s">
        <v>38</v>
      </c>
      <c r="AW26" s="36">
        <v>0.15</v>
      </c>
      <c r="AX26" s="36">
        <v>0.15</v>
      </c>
      <c r="AY26" s="36">
        <v>0.26200000000000001</v>
      </c>
      <c r="AZ26" s="36">
        <v>0.21299999999999999</v>
      </c>
      <c r="BA26" s="36">
        <v>0.28499999999999998</v>
      </c>
      <c r="BB26" s="37">
        <v>0.26500000000000001</v>
      </c>
      <c r="BC26" s="36">
        <v>0.26350000000000001</v>
      </c>
      <c r="BD26" s="23" t="s">
        <v>38</v>
      </c>
      <c r="BE26" s="37">
        <v>0.28700000000000003</v>
      </c>
      <c r="BF26" s="37">
        <v>0.27550000000000002</v>
      </c>
      <c r="BG26" s="36">
        <v>0.30599999999999999</v>
      </c>
      <c r="BH26" s="38">
        <v>0.29149999999999998</v>
      </c>
      <c r="BI26" s="38">
        <v>0.3105</v>
      </c>
      <c r="BJ26" s="38">
        <v>0.314</v>
      </c>
      <c r="BK26" s="38">
        <v>0.29149999999999998</v>
      </c>
      <c r="BL26" s="38">
        <v>0.30399999999999999</v>
      </c>
      <c r="BM26" s="38">
        <v>0.29799999999999999</v>
      </c>
      <c r="BN26" s="40">
        <v>0.32900000000000001</v>
      </c>
      <c r="BO26" s="40">
        <v>0.32550000000000001</v>
      </c>
      <c r="BP26" s="38">
        <v>0.3165</v>
      </c>
      <c r="BQ26" s="38">
        <v>0.28100000000000003</v>
      </c>
      <c r="BR26" s="41">
        <v>0.29400000000000004</v>
      </c>
      <c r="BS26" s="41">
        <v>0.25950000000000001</v>
      </c>
      <c r="BT26" s="41">
        <v>0.248</v>
      </c>
      <c r="BU26" s="42">
        <v>0.27200000000000002</v>
      </c>
      <c r="BV26" s="41">
        <v>0.24</v>
      </c>
      <c r="BW26" s="42">
        <v>0.30099999999999999</v>
      </c>
      <c r="BX26" s="42" t="s">
        <v>38</v>
      </c>
      <c r="BY26" s="85">
        <f>(0.387+0.398)/2</f>
        <v>0.39250000000000002</v>
      </c>
      <c r="BZ26" s="85">
        <f>(0.358+0.372)/2</f>
        <v>0.36499999999999999</v>
      </c>
      <c r="CA26" s="89">
        <v>0.58399999999999996</v>
      </c>
    </row>
    <row r="27" spans="1:79">
      <c r="A27" s="21" t="s">
        <v>10</v>
      </c>
      <c r="B27" s="82">
        <v>254458.34024699999</v>
      </c>
      <c r="C27" s="82">
        <v>4505584.0551300002</v>
      </c>
      <c r="D27" s="19">
        <v>0.35550000000000004</v>
      </c>
      <c r="E27" s="19">
        <v>0.36449999999999999</v>
      </c>
      <c r="F27" s="19">
        <v>0.35549999999999998</v>
      </c>
      <c r="G27" s="19">
        <v>0.377</v>
      </c>
      <c r="H27" s="19">
        <v>0.33950000000000002</v>
      </c>
      <c r="I27" s="19">
        <v>0.29049999999999998</v>
      </c>
      <c r="J27" s="19">
        <v>0.26400000000000001</v>
      </c>
      <c r="K27" s="19">
        <v>0.17799999999999999</v>
      </c>
      <c r="L27" s="19">
        <v>0.30099999999999999</v>
      </c>
      <c r="M27" s="19">
        <v>0.17199999999999999</v>
      </c>
      <c r="N27" s="16">
        <v>0.2175</v>
      </c>
      <c r="O27" s="16">
        <v>0.14650000000000002</v>
      </c>
      <c r="P27" s="16">
        <v>0.17099999999999999</v>
      </c>
      <c r="Q27" s="16">
        <v>0.27700000000000002</v>
      </c>
      <c r="R27" s="16">
        <v>0.33899999999999997</v>
      </c>
      <c r="S27" s="16">
        <v>0.25800000000000001</v>
      </c>
      <c r="T27" s="36">
        <v>0.44400000000000001</v>
      </c>
      <c r="U27" s="36">
        <v>0.42499999999999999</v>
      </c>
      <c r="V27" s="36">
        <v>0.42399999999999999</v>
      </c>
      <c r="W27" s="36">
        <v>0.52900000000000003</v>
      </c>
      <c r="X27" s="36">
        <v>0.35599999999999998</v>
      </c>
      <c r="Y27" s="36" t="s">
        <v>38</v>
      </c>
      <c r="Z27" s="36">
        <v>0.40500000000000003</v>
      </c>
      <c r="AA27" s="36">
        <v>0.41599999999999998</v>
      </c>
      <c r="AB27" s="36">
        <v>0.439</v>
      </c>
      <c r="AC27" s="36">
        <v>0.40400000000000003</v>
      </c>
      <c r="AD27" s="36">
        <v>0.35099999999999998</v>
      </c>
      <c r="AE27" s="36" t="s">
        <v>38</v>
      </c>
      <c r="AF27" s="36">
        <v>0.29299999999999998</v>
      </c>
      <c r="AG27" s="36">
        <v>0.35</v>
      </c>
      <c r="AH27" s="36">
        <v>0.219</v>
      </c>
      <c r="AI27" s="36">
        <v>0.26200000000000001</v>
      </c>
      <c r="AJ27" s="36" t="s">
        <v>38</v>
      </c>
      <c r="AK27" s="36">
        <v>0.106</v>
      </c>
      <c r="AL27" s="36" t="s">
        <v>38</v>
      </c>
      <c r="AM27" s="36">
        <v>0.24</v>
      </c>
      <c r="AN27" s="36">
        <v>0.27100000000000002</v>
      </c>
      <c r="AO27" s="36" t="s">
        <v>38</v>
      </c>
      <c r="AP27" s="36" t="s">
        <v>38</v>
      </c>
      <c r="AQ27" s="36">
        <v>0.36499999999999999</v>
      </c>
      <c r="AR27" s="36" t="s">
        <v>38</v>
      </c>
      <c r="AS27" s="36">
        <v>0.30299999999999999</v>
      </c>
      <c r="AT27" s="36" t="s">
        <v>38</v>
      </c>
      <c r="AU27" s="36">
        <v>0.22600000000000001</v>
      </c>
      <c r="AV27" s="36" t="s">
        <v>38</v>
      </c>
      <c r="AW27" s="36" t="s">
        <v>38</v>
      </c>
      <c r="AX27" s="36" t="s">
        <v>38</v>
      </c>
      <c r="AY27" s="36">
        <v>0.32500000000000001</v>
      </c>
      <c r="AZ27" s="36">
        <v>0.247</v>
      </c>
      <c r="BA27" s="36">
        <v>0.34200000000000003</v>
      </c>
      <c r="BB27" s="37">
        <v>0.29549999999999998</v>
      </c>
      <c r="BC27" s="36">
        <v>0.29149999999999998</v>
      </c>
      <c r="BD27" s="23" t="s">
        <v>38</v>
      </c>
      <c r="BE27" s="37">
        <v>0.33350000000000002</v>
      </c>
      <c r="BF27" s="37">
        <v>0.33750000000000002</v>
      </c>
      <c r="BG27" s="36">
        <v>0.34450000000000003</v>
      </c>
      <c r="BH27" s="38" t="s">
        <v>38</v>
      </c>
      <c r="BI27" s="38" t="s">
        <v>38</v>
      </c>
      <c r="BJ27" s="38" t="s">
        <v>38</v>
      </c>
      <c r="BK27" s="38">
        <v>0.34399999999999997</v>
      </c>
      <c r="BL27" s="38">
        <v>0.34599999999999997</v>
      </c>
      <c r="BM27" s="39" t="s">
        <v>38</v>
      </c>
      <c r="BN27" s="39" t="s">
        <v>38</v>
      </c>
      <c r="BO27" s="39" t="s">
        <v>38</v>
      </c>
      <c r="BP27" s="39" t="s">
        <v>38</v>
      </c>
      <c r="BQ27" s="38">
        <v>0.26500000000000001</v>
      </c>
      <c r="BR27" s="41">
        <v>0.32600000000000001</v>
      </c>
      <c r="BS27" s="41">
        <v>0.2545</v>
      </c>
      <c r="BT27" s="41">
        <v>0.25</v>
      </c>
      <c r="BU27" s="42">
        <v>0.29249999999999998</v>
      </c>
      <c r="BV27" s="41" t="s">
        <v>38</v>
      </c>
      <c r="BW27" s="42">
        <v>0.33799999999999997</v>
      </c>
      <c r="BX27" s="42">
        <v>0.35599999999999998</v>
      </c>
      <c r="BY27" s="85">
        <f>(0.361+0.378)/2</f>
        <v>0.3695</v>
      </c>
      <c r="BZ27" s="85">
        <f>(0.35+0.351)/2</f>
        <v>0.35049999999999998</v>
      </c>
      <c r="CA27" s="89">
        <v>0.48349999999999999</v>
      </c>
    </row>
    <row r="28" spans="1:79">
      <c r="A28" s="21" t="s">
        <v>11</v>
      </c>
      <c r="B28" s="82">
        <v>254456.479143</v>
      </c>
      <c r="C28" s="82">
        <v>4505583.56623</v>
      </c>
      <c r="D28" s="19">
        <v>0.39400000000000002</v>
      </c>
      <c r="E28" s="19">
        <v>0.34350000000000003</v>
      </c>
      <c r="F28" s="19">
        <v>0.35549999999999998</v>
      </c>
      <c r="G28" s="19">
        <v>0.372</v>
      </c>
      <c r="H28" s="19">
        <v>0.34299999999999997</v>
      </c>
      <c r="I28" s="19">
        <v>0.27649999999999997</v>
      </c>
      <c r="J28" s="19">
        <v>0.219</v>
      </c>
      <c r="K28" s="19">
        <v>0.1545</v>
      </c>
      <c r="L28" s="19">
        <v>0.29749999999999999</v>
      </c>
      <c r="M28" s="19">
        <v>0.16299999999999998</v>
      </c>
      <c r="N28" s="16">
        <v>0.19550000000000001</v>
      </c>
      <c r="O28" s="16">
        <v>0.13350000000000001</v>
      </c>
      <c r="P28" s="16" t="s">
        <v>38</v>
      </c>
      <c r="Q28" s="16">
        <v>0.27400000000000002</v>
      </c>
      <c r="R28" s="16" t="s">
        <v>38</v>
      </c>
      <c r="S28" s="16" t="s">
        <v>38</v>
      </c>
      <c r="T28" s="36">
        <v>0.45100000000000001</v>
      </c>
      <c r="U28" s="36">
        <v>0.44800000000000001</v>
      </c>
      <c r="V28" s="36">
        <v>0.498</v>
      </c>
      <c r="W28" s="36">
        <v>0.5</v>
      </c>
      <c r="X28" s="36">
        <v>0.38900000000000001</v>
      </c>
      <c r="Y28" s="36" t="s">
        <v>38</v>
      </c>
      <c r="Z28" s="36">
        <v>0.41099999999999998</v>
      </c>
      <c r="AA28" s="36">
        <v>0.39300000000000002</v>
      </c>
      <c r="AB28" s="36">
        <v>0.47099999999999997</v>
      </c>
      <c r="AC28" s="36">
        <v>0.432</v>
      </c>
      <c r="AD28" s="36">
        <v>0.39700000000000002</v>
      </c>
      <c r="AE28" s="36" t="s">
        <v>38</v>
      </c>
      <c r="AF28" s="36">
        <v>0.308</v>
      </c>
      <c r="AG28" s="36">
        <v>0.36</v>
      </c>
      <c r="AH28" s="36">
        <v>0.21199999999999999</v>
      </c>
      <c r="AI28" s="36">
        <v>0.27100000000000002</v>
      </c>
      <c r="AJ28" s="36" t="s">
        <v>38</v>
      </c>
      <c r="AK28" s="36">
        <v>0.21099999999999999</v>
      </c>
      <c r="AL28" s="36" t="s">
        <v>38</v>
      </c>
      <c r="AM28" s="36">
        <v>0.22700000000000001</v>
      </c>
      <c r="AN28" s="36">
        <v>0.315</v>
      </c>
      <c r="AO28" s="36" t="s">
        <v>38</v>
      </c>
      <c r="AP28" s="36" t="s">
        <v>38</v>
      </c>
      <c r="AQ28" s="36">
        <v>0.255</v>
      </c>
      <c r="AR28" s="36" t="s">
        <v>38</v>
      </c>
      <c r="AS28" s="36">
        <v>0.255</v>
      </c>
      <c r="AT28" s="36" t="s">
        <v>38</v>
      </c>
      <c r="AU28" s="36">
        <v>0.19800000000000001</v>
      </c>
      <c r="AV28" s="36" t="s">
        <v>38</v>
      </c>
      <c r="AW28" s="36" t="s">
        <v>38</v>
      </c>
      <c r="AX28" s="36" t="s">
        <v>38</v>
      </c>
      <c r="AY28" s="36">
        <v>0.3</v>
      </c>
      <c r="AZ28" s="36">
        <v>0.23200000000000001</v>
      </c>
      <c r="BA28" s="36">
        <v>0.30399999999999999</v>
      </c>
      <c r="BB28" s="37">
        <v>0.27900000000000003</v>
      </c>
      <c r="BC28" s="36">
        <v>0.26700000000000002</v>
      </c>
      <c r="BD28" s="23" t="s">
        <v>38</v>
      </c>
      <c r="BE28" s="37">
        <v>0.31850000000000001</v>
      </c>
      <c r="BF28" s="37">
        <v>0.19</v>
      </c>
      <c r="BG28" s="36">
        <v>0.315</v>
      </c>
      <c r="BH28" s="38" t="s">
        <v>38</v>
      </c>
      <c r="BI28" s="38" t="s">
        <v>38</v>
      </c>
      <c r="BJ28" s="38" t="s">
        <v>38</v>
      </c>
      <c r="BK28" s="38">
        <v>0.33050000000000002</v>
      </c>
      <c r="BL28" s="38">
        <v>0.33350000000000002</v>
      </c>
      <c r="BM28" s="39" t="s">
        <v>38</v>
      </c>
      <c r="BN28" s="39" t="s">
        <v>38</v>
      </c>
      <c r="BO28" s="39" t="s">
        <v>38</v>
      </c>
      <c r="BP28" s="39" t="s">
        <v>38</v>
      </c>
      <c r="BQ28" s="38">
        <v>0.23499999999999999</v>
      </c>
      <c r="BR28" s="41">
        <v>0.30349999999999999</v>
      </c>
      <c r="BS28" s="41">
        <v>0.23349999999999999</v>
      </c>
      <c r="BT28" s="41">
        <v>0.2235</v>
      </c>
      <c r="BU28" s="42">
        <v>0.30049999999999999</v>
      </c>
      <c r="BV28" s="41" t="s">
        <v>38</v>
      </c>
      <c r="BW28" s="42">
        <v>0.35949999999999999</v>
      </c>
      <c r="BX28" s="42" t="s">
        <v>38</v>
      </c>
      <c r="BY28" s="85">
        <f>(0.36+0.364)/2</f>
        <v>0.36199999999999999</v>
      </c>
      <c r="BZ28" s="85">
        <f>(0.363+0.341)/2</f>
        <v>0.35199999999999998</v>
      </c>
      <c r="CA28" s="89">
        <v>0.505</v>
      </c>
    </row>
    <row r="29" spans="1:79">
      <c r="A29" s="21" t="s">
        <v>12</v>
      </c>
      <c r="B29" s="82">
        <v>254455.93775099999</v>
      </c>
      <c r="C29" s="82">
        <v>4505585.4930299995</v>
      </c>
      <c r="D29" s="19">
        <v>0.48799999999999999</v>
      </c>
      <c r="E29" s="19">
        <v>0.42049999999999998</v>
      </c>
      <c r="F29" s="19">
        <v>0.441</v>
      </c>
      <c r="G29" s="19">
        <v>0.48449999999999999</v>
      </c>
      <c r="H29" s="19">
        <v>0.441</v>
      </c>
      <c r="I29" s="19">
        <v>0.39500000000000002</v>
      </c>
      <c r="J29" s="19">
        <v>0.28100000000000003</v>
      </c>
      <c r="K29" s="19">
        <v>0.1255</v>
      </c>
      <c r="L29" s="19">
        <v>0.30199999999999999</v>
      </c>
      <c r="M29" s="19">
        <v>0.1285</v>
      </c>
      <c r="N29" s="16">
        <v>0.1905</v>
      </c>
      <c r="O29" s="16">
        <v>0.129</v>
      </c>
      <c r="P29" s="16" t="s">
        <v>38</v>
      </c>
      <c r="Q29" s="16">
        <v>0.309</v>
      </c>
      <c r="R29" s="16" t="s">
        <v>38</v>
      </c>
      <c r="S29" s="16" t="s">
        <v>38</v>
      </c>
      <c r="T29" s="36">
        <v>0.54700000000000004</v>
      </c>
      <c r="U29" s="36">
        <v>0.51300000000000001</v>
      </c>
      <c r="V29" s="36">
        <v>0.69499999999999995</v>
      </c>
      <c r="W29" s="36">
        <v>0.69499999999999995</v>
      </c>
      <c r="X29" s="36">
        <v>0.46100000000000002</v>
      </c>
      <c r="Y29" s="36" t="s">
        <v>38</v>
      </c>
      <c r="Z29" s="36">
        <v>0.76200000000000001</v>
      </c>
      <c r="AA29" s="36">
        <v>0.64500000000000002</v>
      </c>
      <c r="AB29" s="36">
        <v>0.79700000000000004</v>
      </c>
      <c r="AC29" s="36">
        <v>0.622</v>
      </c>
      <c r="AD29" s="36">
        <v>0.48099999999999998</v>
      </c>
      <c r="AE29" s="36" t="s">
        <v>38</v>
      </c>
      <c r="AF29" s="36">
        <v>0.41699999999999998</v>
      </c>
      <c r="AG29" s="36">
        <v>0.255</v>
      </c>
      <c r="AH29" s="36">
        <v>0.188</v>
      </c>
      <c r="AI29" s="36">
        <v>0.23200000000000001</v>
      </c>
      <c r="AJ29" s="36" t="s">
        <v>38</v>
      </c>
      <c r="AK29" s="36">
        <v>0.16500000000000001</v>
      </c>
      <c r="AL29" s="36" t="s">
        <v>38</v>
      </c>
      <c r="AM29" s="36">
        <v>0.24</v>
      </c>
      <c r="AN29" s="36">
        <v>0.39200000000000002</v>
      </c>
      <c r="AO29" s="36" t="s">
        <v>38</v>
      </c>
      <c r="AP29" s="36" t="s">
        <v>38</v>
      </c>
      <c r="AQ29" s="36">
        <v>0.42399999999999999</v>
      </c>
      <c r="AR29" s="36" t="s">
        <v>38</v>
      </c>
      <c r="AS29" s="36">
        <v>0.378</v>
      </c>
      <c r="AT29" s="36" t="s">
        <v>38</v>
      </c>
      <c r="AU29" s="36">
        <v>0.29099999999999998</v>
      </c>
      <c r="AV29" s="36" t="s">
        <v>38</v>
      </c>
      <c r="AW29" s="36" t="s">
        <v>38</v>
      </c>
      <c r="AX29" s="36" t="s">
        <v>38</v>
      </c>
      <c r="AY29" s="36">
        <v>0.316</v>
      </c>
      <c r="AZ29" s="36">
        <v>0.22900000000000001</v>
      </c>
      <c r="BA29" s="36">
        <v>0.35599999999999998</v>
      </c>
      <c r="BB29" s="37">
        <v>0.33350000000000002</v>
      </c>
      <c r="BC29" s="36">
        <v>0.3755</v>
      </c>
      <c r="BD29" s="23" t="s">
        <v>38</v>
      </c>
      <c r="BE29" s="37">
        <v>0.38550000000000001</v>
      </c>
      <c r="BF29" s="37">
        <v>0.20300000000000001</v>
      </c>
      <c r="BG29" s="36">
        <v>0.42399999999999999</v>
      </c>
      <c r="BH29" s="38" t="s">
        <v>38</v>
      </c>
      <c r="BI29" s="38" t="s">
        <v>38</v>
      </c>
      <c r="BJ29" s="38" t="s">
        <v>38</v>
      </c>
      <c r="BK29" s="38">
        <v>0.39949999999999997</v>
      </c>
      <c r="BL29" s="38">
        <v>0.36799999999999999</v>
      </c>
      <c r="BM29" s="39" t="s">
        <v>38</v>
      </c>
      <c r="BN29" s="39" t="s">
        <v>38</v>
      </c>
      <c r="BO29" s="39" t="s">
        <v>38</v>
      </c>
      <c r="BP29" s="39" t="s">
        <v>38</v>
      </c>
      <c r="BQ29" s="38">
        <v>0.36650000000000005</v>
      </c>
      <c r="BR29" s="41">
        <v>0.40799999999999997</v>
      </c>
      <c r="BS29" s="41">
        <v>0.314</v>
      </c>
      <c r="BT29" s="41">
        <v>0.32150000000000001</v>
      </c>
      <c r="BU29" s="42">
        <v>0.35449999999999998</v>
      </c>
      <c r="BV29" s="41" t="s">
        <v>38</v>
      </c>
      <c r="BW29" s="42">
        <v>0.38300000000000001</v>
      </c>
      <c r="BX29" s="42">
        <v>0.44400000000000001</v>
      </c>
      <c r="BY29" s="85">
        <f>(0.462+0.426)/2</f>
        <v>0.44400000000000001</v>
      </c>
      <c r="BZ29" s="85">
        <f>(0.448+0.444)/2</f>
        <v>0.44600000000000001</v>
      </c>
      <c r="CA29" s="89">
        <v>0.64549999999999996</v>
      </c>
    </row>
    <row r="30" spans="1:79">
      <c r="A30" s="21" t="s">
        <v>13</v>
      </c>
      <c r="B30" s="82">
        <v>254457.878004</v>
      </c>
      <c r="C30" s="82">
        <v>4505586.0580200003</v>
      </c>
      <c r="D30" s="19">
        <v>0.32950000000000002</v>
      </c>
      <c r="E30" s="19">
        <v>0.35349999999999998</v>
      </c>
      <c r="F30" s="19">
        <v>0.38900000000000001</v>
      </c>
      <c r="G30" s="19">
        <v>0.39400000000000002</v>
      </c>
      <c r="H30" s="19">
        <v>0.32300000000000001</v>
      </c>
      <c r="I30" s="19">
        <v>0.29200000000000004</v>
      </c>
      <c r="J30" s="19">
        <v>0.24299999999999999</v>
      </c>
      <c r="K30" s="19">
        <v>0.14499999999999999</v>
      </c>
      <c r="L30" s="19">
        <v>0.24149999999999999</v>
      </c>
      <c r="M30" s="19">
        <v>0.13450000000000001</v>
      </c>
      <c r="N30" s="16">
        <v>0.185</v>
      </c>
      <c r="O30" s="16">
        <v>0.13</v>
      </c>
      <c r="P30" s="16" t="s">
        <v>38</v>
      </c>
      <c r="Q30" s="16">
        <v>0.2555</v>
      </c>
      <c r="R30" s="16" t="s">
        <v>38</v>
      </c>
      <c r="S30" s="16" t="s">
        <v>38</v>
      </c>
      <c r="T30" s="36">
        <v>0.56899999999999995</v>
      </c>
      <c r="U30" s="36">
        <v>0.45</v>
      </c>
      <c r="V30" s="36">
        <v>0.68300000000000005</v>
      </c>
      <c r="W30" s="36">
        <v>0.75</v>
      </c>
      <c r="X30" s="36">
        <v>0.45600000000000002</v>
      </c>
      <c r="Y30" s="36" t="s">
        <v>38</v>
      </c>
      <c r="Z30" s="36">
        <v>0.67600000000000005</v>
      </c>
      <c r="AA30" s="36">
        <v>0.59899999999999998</v>
      </c>
      <c r="AB30" s="36">
        <v>0.67100000000000004</v>
      </c>
      <c r="AC30" s="36">
        <v>0.60099999999999998</v>
      </c>
      <c r="AD30" s="36">
        <v>0.38900000000000001</v>
      </c>
      <c r="AE30" s="36" t="s">
        <v>38</v>
      </c>
      <c r="AF30" s="36">
        <v>0.27</v>
      </c>
      <c r="AG30" s="36">
        <v>0.34699999999999998</v>
      </c>
      <c r="AH30" s="36">
        <v>0.17799999999999999</v>
      </c>
      <c r="AI30" s="36">
        <v>0.23899999999999999</v>
      </c>
      <c r="AJ30" s="36" t="s">
        <v>38</v>
      </c>
      <c r="AK30" s="36">
        <v>0.17199999999999999</v>
      </c>
      <c r="AL30" s="36" t="s">
        <v>38</v>
      </c>
      <c r="AM30" s="36">
        <v>0.28499999999999998</v>
      </c>
      <c r="AN30" s="36">
        <v>0.41699999999999998</v>
      </c>
      <c r="AO30" s="36" t="s">
        <v>38</v>
      </c>
      <c r="AP30" s="36" t="s">
        <v>38</v>
      </c>
      <c r="AQ30" s="36">
        <v>0.29199999999999998</v>
      </c>
      <c r="AR30" s="36" t="s">
        <v>38</v>
      </c>
      <c r="AS30" s="36">
        <v>0.23899999999999999</v>
      </c>
      <c r="AT30" s="36" t="s">
        <v>38</v>
      </c>
      <c r="AU30" s="36">
        <v>0.19800000000000001</v>
      </c>
      <c r="AV30" s="36" t="s">
        <v>38</v>
      </c>
      <c r="AW30" s="36" t="s">
        <v>38</v>
      </c>
      <c r="AX30" s="36" t="s">
        <v>38</v>
      </c>
      <c r="AY30" s="36">
        <v>0.23400000000000001</v>
      </c>
      <c r="AZ30" s="36">
        <v>0.16500000000000001</v>
      </c>
      <c r="BA30" s="36">
        <v>0.255</v>
      </c>
      <c r="BB30" s="37">
        <v>0.247</v>
      </c>
      <c r="BC30" s="36">
        <v>0.247</v>
      </c>
      <c r="BD30" s="23" t="s">
        <v>38</v>
      </c>
      <c r="BE30" s="37">
        <v>0.25950000000000001</v>
      </c>
      <c r="BF30" s="37">
        <v>0.13200000000000001</v>
      </c>
      <c r="BG30" s="36">
        <v>0.32150000000000001</v>
      </c>
      <c r="BH30" s="38" t="s">
        <v>38</v>
      </c>
      <c r="BI30" s="38" t="s">
        <v>38</v>
      </c>
      <c r="BJ30" s="38" t="s">
        <v>38</v>
      </c>
      <c r="BK30" s="38">
        <v>0.35499999999999998</v>
      </c>
      <c r="BL30" s="38">
        <v>0.26750000000000002</v>
      </c>
      <c r="BM30" s="39" t="s">
        <v>38</v>
      </c>
      <c r="BN30" s="39" t="s">
        <v>38</v>
      </c>
      <c r="BO30" s="39" t="s">
        <v>38</v>
      </c>
      <c r="BP30" s="39" t="s">
        <v>38</v>
      </c>
      <c r="BQ30" s="38">
        <v>0.251</v>
      </c>
      <c r="BR30" s="41">
        <v>0.29449999999999998</v>
      </c>
      <c r="BS30" s="41">
        <v>0.22450000000000001</v>
      </c>
      <c r="BT30" s="41">
        <v>0.23499999999999999</v>
      </c>
      <c r="BU30" s="42">
        <v>0.26500000000000001</v>
      </c>
      <c r="BV30" s="41" t="s">
        <v>38</v>
      </c>
      <c r="BW30" s="42">
        <v>0.34649999999999997</v>
      </c>
      <c r="BX30" s="42" t="s">
        <v>38</v>
      </c>
      <c r="BY30" s="85">
        <f>(0.489+0.479)/2</f>
        <v>0.48399999999999999</v>
      </c>
      <c r="BZ30" s="85">
        <f>(0.448+0.425)/2</f>
        <v>0.4365</v>
      </c>
      <c r="CA30" s="89">
        <v>0.64900000000000002</v>
      </c>
    </row>
    <row r="31" spans="1:79">
      <c r="A31" s="21">
        <v>22</v>
      </c>
      <c r="B31" s="82">
        <v>254501.52615300001</v>
      </c>
      <c r="C31" s="82">
        <v>4505594.6980400002</v>
      </c>
      <c r="D31" s="19" t="s">
        <v>38</v>
      </c>
      <c r="E31" s="19">
        <v>0.32850000000000001</v>
      </c>
      <c r="F31" s="19">
        <v>0.34150000000000003</v>
      </c>
      <c r="G31" s="19">
        <v>0.34749999999999998</v>
      </c>
      <c r="H31" s="19">
        <v>0.25950000000000001</v>
      </c>
      <c r="I31" s="19">
        <v>0.247</v>
      </c>
      <c r="J31" s="19">
        <v>0.22</v>
      </c>
      <c r="K31" s="19">
        <v>0.14950000000000002</v>
      </c>
      <c r="L31" s="19">
        <v>0.22650000000000001</v>
      </c>
      <c r="M31" s="19">
        <v>0.154</v>
      </c>
      <c r="N31" s="16">
        <v>0.19850000000000001</v>
      </c>
      <c r="O31" s="16">
        <v>0.1295</v>
      </c>
      <c r="P31" s="16">
        <v>0.14749999999999999</v>
      </c>
      <c r="Q31" s="16">
        <v>0.252</v>
      </c>
      <c r="R31" s="16">
        <v>0.29249999999999998</v>
      </c>
      <c r="S31" s="16">
        <v>0.20150000000000001</v>
      </c>
      <c r="T31" s="36">
        <v>0.39</v>
      </c>
      <c r="U31" s="36">
        <v>0.35799999999999998</v>
      </c>
      <c r="V31" s="36">
        <v>0.48699999999999999</v>
      </c>
      <c r="W31" s="36">
        <v>0.48199999999999998</v>
      </c>
      <c r="X31" s="36">
        <v>0.35499999999999998</v>
      </c>
      <c r="Y31" s="36">
        <v>0.29499999999999998</v>
      </c>
      <c r="Z31" s="36">
        <v>0.379</v>
      </c>
      <c r="AA31" s="36">
        <v>0.42899999999999999</v>
      </c>
      <c r="AB31" s="36">
        <v>0.54400000000000004</v>
      </c>
      <c r="AC31" s="36">
        <v>0.38500000000000001</v>
      </c>
      <c r="AD31" s="36">
        <v>0.35799999999999998</v>
      </c>
      <c r="AE31" s="36">
        <v>0.32200000000000001</v>
      </c>
      <c r="AF31" s="36">
        <v>0.23599999999999999</v>
      </c>
      <c r="AG31" s="36">
        <v>0.249</v>
      </c>
      <c r="AH31" s="36">
        <v>9.6000000000000002E-2</v>
      </c>
      <c r="AI31" s="36">
        <v>0.115</v>
      </c>
      <c r="AJ31" s="36">
        <v>0.20599999999999999</v>
      </c>
      <c r="AK31" s="36">
        <v>0.20300000000000001</v>
      </c>
      <c r="AL31" s="36">
        <v>0.32900000000000001</v>
      </c>
      <c r="AM31" s="36">
        <v>0.17799999999999999</v>
      </c>
      <c r="AN31" s="36">
        <v>0.314</v>
      </c>
      <c r="AO31" s="36">
        <v>0.252</v>
      </c>
      <c r="AP31" s="36">
        <v>0.28100000000000003</v>
      </c>
      <c r="AQ31" s="36">
        <v>0.29399999999999998</v>
      </c>
      <c r="AR31" s="36">
        <v>0.27</v>
      </c>
      <c r="AS31" s="36">
        <v>0.27</v>
      </c>
      <c r="AT31" s="36">
        <v>0.26200000000000001</v>
      </c>
      <c r="AU31" s="36">
        <v>0.23499999999999999</v>
      </c>
      <c r="AV31" s="36">
        <v>0.183</v>
      </c>
      <c r="AW31" s="36">
        <v>0.158</v>
      </c>
      <c r="AX31" s="36" t="s">
        <v>38</v>
      </c>
      <c r="AY31" s="36">
        <v>0.254</v>
      </c>
      <c r="AZ31" s="36">
        <v>0.20799999999999999</v>
      </c>
      <c r="BA31" s="36">
        <v>0.245</v>
      </c>
      <c r="BB31" s="37">
        <v>0.20300000000000001</v>
      </c>
      <c r="BC31" s="36" t="s">
        <v>38</v>
      </c>
      <c r="BD31" s="37" t="s">
        <v>38</v>
      </c>
      <c r="BE31" s="37" t="s">
        <v>38</v>
      </c>
      <c r="BF31" s="37" t="s">
        <v>38</v>
      </c>
      <c r="BG31" s="36">
        <v>0.26449999999999996</v>
      </c>
      <c r="BH31" s="38">
        <v>0.29649999999999999</v>
      </c>
      <c r="BI31" s="38">
        <v>0.32200000000000001</v>
      </c>
      <c r="BJ31" s="38">
        <v>0.33799999999999997</v>
      </c>
      <c r="BK31" s="38">
        <v>0.32350000000000001</v>
      </c>
      <c r="BL31" s="38">
        <v>0.28599999999999998</v>
      </c>
      <c r="BM31" s="38">
        <v>0.30599999999999999</v>
      </c>
      <c r="BN31" s="39" t="s">
        <v>38</v>
      </c>
      <c r="BO31" s="40">
        <v>0.32600000000000001</v>
      </c>
      <c r="BP31" s="38">
        <v>0.312</v>
      </c>
      <c r="BQ31" s="38">
        <v>0.23050000000000001</v>
      </c>
      <c r="BR31" s="41">
        <v>0.27900000000000003</v>
      </c>
      <c r="BS31" s="41">
        <v>0.23749999999999999</v>
      </c>
      <c r="BT31" s="41">
        <v>0.23449999999999999</v>
      </c>
      <c r="BU31" s="42">
        <v>0.252</v>
      </c>
      <c r="BV31" s="41">
        <v>0.16400000000000001</v>
      </c>
      <c r="BW31" s="42">
        <v>0.3105</v>
      </c>
      <c r="BX31" s="42">
        <v>0.30299999999999999</v>
      </c>
      <c r="BY31" s="85">
        <f>(0.174+0.233)/2</f>
        <v>0.20350000000000001</v>
      </c>
      <c r="BZ31" s="85">
        <f>(0.341+0.363)/2</f>
        <v>0.35199999999999998</v>
      </c>
      <c r="CA31" s="89">
        <v>0.51349999999999996</v>
      </c>
    </row>
    <row r="32" spans="1:79">
      <c r="A32" s="21">
        <v>23</v>
      </c>
      <c r="B32" s="83">
        <v>254520.12336</v>
      </c>
      <c r="C32" s="83">
        <v>4505551.7588200001</v>
      </c>
      <c r="D32" s="19" t="s">
        <v>38</v>
      </c>
      <c r="E32" s="19" t="s">
        <v>38</v>
      </c>
      <c r="F32" s="19" t="s">
        <v>38</v>
      </c>
      <c r="G32" s="19" t="s">
        <v>38</v>
      </c>
      <c r="H32" s="19" t="s">
        <v>38</v>
      </c>
      <c r="I32" s="19" t="s">
        <v>38</v>
      </c>
      <c r="J32" s="19" t="s">
        <v>38</v>
      </c>
      <c r="K32" s="19" t="s">
        <v>38</v>
      </c>
      <c r="L32" s="19" t="s">
        <v>38</v>
      </c>
      <c r="M32" s="19" t="s">
        <v>38</v>
      </c>
      <c r="N32" s="23" t="s">
        <v>38</v>
      </c>
      <c r="O32" s="23" t="s">
        <v>38</v>
      </c>
      <c r="P32" s="23" t="s">
        <v>38</v>
      </c>
      <c r="Q32" s="23" t="s">
        <v>38</v>
      </c>
      <c r="R32" s="23" t="s">
        <v>38</v>
      </c>
      <c r="S32" s="23" t="s">
        <v>38</v>
      </c>
      <c r="T32" s="23" t="s">
        <v>38</v>
      </c>
      <c r="U32" s="23" t="s">
        <v>38</v>
      </c>
      <c r="V32" s="23" t="s">
        <v>38</v>
      </c>
      <c r="W32" s="23" t="s">
        <v>38</v>
      </c>
      <c r="X32" s="23" t="s">
        <v>38</v>
      </c>
      <c r="Y32" s="23" t="s">
        <v>38</v>
      </c>
      <c r="Z32" s="23" t="s">
        <v>38</v>
      </c>
      <c r="AA32" s="23" t="s">
        <v>38</v>
      </c>
      <c r="AB32" s="23" t="s">
        <v>38</v>
      </c>
      <c r="AC32" s="23" t="s">
        <v>38</v>
      </c>
      <c r="AD32" s="23" t="s">
        <v>38</v>
      </c>
      <c r="AE32" s="23" t="s">
        <v>38</v>
      </c>
      <c r="AF32" s="23" t="s">
        <v>38</v>
      </c>
      <c r="AG32" s="23" t="s">
        <v>38</v>
      </c>
      <c r="AH32" s="23" t="s">
        <v>38</v>
      </c>
      <c r="AI32" s="23" t="s">
        <v>38</v>
      </c>
      <c r="AJ32" s="23" t="s">
        <v>38</v>
      </c>
      <c r="AK32" s="23" t="s">
        <v>38</v>
      </c>
      <c r="AL32" s="23" t="s">
        <v>38</v>
      </c>
      <c r="AM32" s="23" t="s">
        <v>38</v>
      </c>
      <c r="AN32" s="23" t="s">
        <v>38</v>
      </c>
      <c r="AO32" s="23" t="s">
        <v>38</v>
      </c>
      <c r="AP32" s="23" t="s">
        <v>38</v>
      </c>
      <c r="AQ32" s="23" t="s">
        <v>38</v>
      </c>
      <c r="AR32" s="23" t="s">
        <v>38</v>
      </c>
      <c r="AS32" s="23" t="s">
        <v>38</v>
      </c>
      <c r="AT32" s="23" t="s">
        <v>38</v>
      </c>
      <c r="AU32" s="23" t="s">
        <v>38</v>
      </c>
      <c r="AV32" s="23" t="s">
        <v>38</v>
      </c>
      <c r="AW32" s="23" t="s">
        <v>38</v>
      </c>
      <c r="AX32" s="23" t="s">
        <v>38</v>
      </c>
      <c r="AY32" s="23" t="s">
        <v>38</v>
      </c>
      <c r="AZ32" s="23" t="s">
        <v>38</v>
      </c>
      <c r="BA32" s="23" t="s">
        <v>38</v>
      </c>
      <c r="BB32" s="23" t="s">
        <v>38</v>
      </c>
      <c r="BC32" s="23" t="s">
        <v>38</v>
      </c>
      <c r="BD32" s="23" t="s">
        <v>38</v>
      </c>
      <c r="BE32" s="23" t="s">
        <v>38</v>
      </c>
      <c r="BF32" s="23" t="s">
        <v>38</v>
      </c>
      <c r="BG32" s="23" t="s">
        <v>38</v>
      </c>
      <c r="BH32" s="23" t="s">
        <v>38</v>
      </c>
      <c r="BI32" s="23" t="s">
        <v>38</v>
      </c>
      <c r="BJ32" s="23" t="s">
        <v>38</v>
      </c>
      <c r="BK32" s="23" t="s">
        <v>38</v>
      </c>
      <c r="BL32" s="23" t="s">
        <v>38</v>
      </c>
      <c r="BM32" s="23" t="s">
        <v>38</v>
      </c>
      <c r="BN32" s="23" t="s">
        <v>38</v>
      </c>
      <c r="BO32" s="23" t="s">
        <v>38</v>
      </c>
      <c r="BP32" s="23" t="s">
        <v>38</v>
      </c>
      <c r="BQ32" s="23" t="s">
        <v>38</v>
      </c>
      <c r="BR32" s="23" t="s">
        <v>38</v>
      </c>
      <c r="BS32" s="23" t="s">
        <v>38</v>
      </c>
      <c r="BT32" s="23" t="s">
        <v>38</v>
      </c>
      <c r="BU32" s="23" t="s">
        <v>38</v>
      </c>
      <c r="BV32" s="23" t="s">
        <v>38</v>
      </c>
      <c r="BW32" s="23" t="s">
        <v>38</v>
      </c>
      <c r="BX32" s="23" t="s">
        <v>38</v>
      </c>
      <c r="BY32" s="69" t="s">
        <v>38</v>
      </c>
      <c r="BZ32" s="69" t="s">
        <v>38</v>
      </c>
      <c r="CA32" s="89" t="s">
        <v>38</v>
      </c>
    </row>
    <row r="33" spans="1:79">
      <c r="A33" s="21">
        <v>24</v>
      </c>
      <c r="B33" s="83">
        <v>254528.53983200001</v>
      </c>
      <c r="C33" s="83">
        <v>4505511.7527299998</v>
      </c>
      <c r="D33" s="19" t="s">
        <v>38</v>
      </c>
      <c r="E33" s="19" t="s">
        <v>38</v>
      </c>
      <c r="F33" s="19" t="s">
        <v>38</v>
      </c>
      <c r="G33" s="19" t="s">
        <v>38</v>
      </c>
      <c r="H33" s="19" t="s">
        <v>38</v>
      </c>
      <c r="I33" s="19" t="s">
        <v>38</v>
      </c>
      <c r="J33" s="19" t="s">
        <v>38</v>
      </c>
      <c r="K33" s="19" t="s">
        <v>38</v>
      </c>
      <c r="L33" s="19" t="s">
        <v>38</v>
      </c>
      <c r="M33" s="19" t="s">
        <v>38</v>
      </c>
      <c r="N33" s="23" t="s">
        <v>38</v>
      </c>
      <c r="O33" s="23" t="s">
        <v>38</v>
      </c>
      <c r="P33" s="23" t="s">
        <v>38</v>
      </c>
      <c r="Q33" s="23" t="s">
        <v>38</v>
      </c>
      <c r="R33" s="23" t="s">
        <v>38</v>
      </c>
      <c r="S33" s="23" t="s">
        <v>38</v>
      </c>
      <c r="T33" s="23" t="s">
        <v>38</v>
      </c>
      <c r="U33" s="23" t="s">
        <v>38</v>
      </c>
      <c r="V33" s="23" t="s">
        <v>38</v>
      </c>
      <c r="W33" s="23" t="s">
        <v>38</v>
      </c>
      <c r="X33" s="23" t="s">
        <v>38</v>
      </c>
      <c r="Y33" s="23" t="s">
        <v>38</v>
      </c>
      <c r="Z33" s="23" t="s">
        <v>38</v>
      </c>
      <c r="AA33" s="23" t="s">
        <v>38</v>
      </c>
      <c r="AB33" s="23" t="s">
        <v>38</v>
      </c>
      <c r="AC33" s="23" t="s">
        <v>38</v>
      </c>
      <c r="AD33" s="23" t="s">
        <v>38</v>
      </c>
      <c r="AE33" s="23" t="s">
        <v>38</v>
      </c>
      <c r="AF33" s="23" t="s">
        <v>38</v>
      </c>
      <c r="AG33" s="23" t="s">
        <v>38</v>
      </c>
      <c r="AH33" s="23" t="s">
        <v>38</v>
      </c>
      <c r="AI33" s="23" t="s">
        <v>38</v>
      </c>
      <c r="AJ33" s="23" t="s">
        <v>38</v>
      </c>
      <c r="AK33" s="23" t="s">
        <v>38</v>
      </c>
      <c r="AL33" s="23" t="s">
        <v>38</v>
      </c>
      <c r="AM33" s="23" t="s">
        <v>38</v>
      </c>
      <c r="AN33" s="23" t="s">
        <v>38</v>
      </c>
      <c r="AO33" s="23" t="s">
        <v>38</v>
      </c>
      <c r="AP33" s="23" t="s">
        <v>38</v>
      </c>
      <c r="AQ33" s="23" t="s">
        <v>38</v>
      </c>
      <c r="AR33" s="23" t="s">
        <v>38</v>
      </c>
      <c r="AS33" s="23" t="s">
        <v>38</v>
      </c>
      <c r="AT33" s="23" t="s">
        <v>38</v>
      </c>
      <c r="AU33" s="23" t="s">
        <v>38</v>
      </c>
      <c r="AV33" s="23" t="s">
        <v>38</v>
      </c>
      <c r="AW33" s="23" t="s">
        <v>38</v>
      </c>
      <c r="AX33" s="23" t="s">
        <v>38</v>
      </c>
      <c r="AY33" s="23" t="s">
        <v>38</v>
      </c>
      <c r="AZ33" s="23" t="s">
        <v>38</v>
      </c>
      <c r="BA33" s="23" t="s">
        <v>38</v>
      </c>
      <c r="BB33" s="23" t="s">
        <v>38</v>
      </c>
      <c r="BC33" s="23" t="s">
        <v>38</v>
      </c>
      <c r="BD33" s="23" t="s">
        <v>38</v>
      </c>
      <c r="BE33" s="23" t="s">
        <v>38</v>
      </c>
      <c r="BF33" s="23" t="s">
        <v>38</v>
      </c>
      <c r="BG33" s="23" t="s">
        <v>38</v>
      </c>
      <c r="BH33" s="23" t="s">
        <v>38</v>
      </c>
      <c r="BI33" s="23" t="s">
        <v>38</v>
      </c>
      <c r="BJ33" s="23" t="s">
        <v>38</v>
      </c>
      <c r="BK33" s="23" t="s">
        <v>38</v>
      </c>
      <c r="BL33" s="23" t="s">
        <v>38</v>
      </c>
      <c r="BM33" s="23" t="s">
        <v>38</v>
      </c>
      <c r="BN33" s="23" t="s">
        <v>38</v>
      </c>
      <c r="BO33" s="23" t="s">
        <v>38</v>
      </c>
      <c r="BP33" s="23" t="s">
        <v>38</v>
      </c>
      <c r="BQ33" s="23" t="s">
        <v>38</v>
      </c>
      <c r="BR33" s="23" t="s">
        <v>38</v>
      </c>
      <c r="BS33" s="23" t="s">
        <v>38</v>
      </c>
      <c r="BT33" s="23" t="s">
        <v>38</v>
      </c>
      <c r="BU33" s="23" t="s">
        <v>38</v>
      </c>
      <c r="BV33" s="23" t="s">
        <v>38</v>
      </c>
      <c r="BW33" s="23" t="s">
        <v>38</v>
      </c>
      <c r="BX33" s="23" t="s">
        <v>38</v>
      </c>
      <c r="BY33" s="69" t="s">
        <v>38</v>
      </c>
      <c r="BZ33" s="69" t="s">
        <v>38</v>
      </c>
      <c r="CA33" s="89" t="s">
        <v>38</v>
      </c>
    </row>
    <row r="34" spans="1:79">
      <c r="A34" s="21">
        <v>25</v>
      </c>
      <c r="B34" s="83">
        <v>254506.98052099999</v>
      </c>
      <c r="C34" s="83">
        <v>4505562.6568999998</v>
      </c>
      <c r="D34" s="19" t="s">
        <v>38</v>
      </c>
      <c r="E34" s="19" t="s">
        <v>38</v>
      </c>
      <c r="F34" s="19" t="s">
        <v>38</v>
      </c>
      <c r="G34" s="19" t="s">
        <v>38</v>
      </c>
      <c r="H34" s="19" t="s">
        <v>38</v>
      </c>
      <c r="I34" s="19" t="s">
        <v>38</v>
      </c>
      <c r="J34" s="19" t="s">
        <v>38</v>
      </c>
      <c r="K34" s="19" t="s">
        <v>38</v>
      </c>
      <c r="L34" s="19" t="s">
        <v>38</v>
      </c>
      <c r="M34" s="19" t="s">
        <v>38</v>
      </c>
      <c r="N34" s="23" t="s">
        <v>38</v>
      </c>
      <c r="O34" s="23" t="s">
        <v>38</v>
      </c>
      <c r="P34" s="23" t="s">
        <v>38</v>
      </c>
      <c r="Q34" s="23" t="s">
        <v>38</v>
      </c>
      <c r="R34" s="23" t="s">
        <v>38</v>
      </c>
      <c r="S34" s="23" t="s">
        <v>38</v>
      </c>
      <c r="T34" s="23" t="s">
        <v>38</v>
      </c>
      <c r="U34" s="23" t="s">
        <v>38</v>
      </c>
      <c r="V34" s="23" t="s">
        <v>38</v>
      </c>
      <c r="W34" s="23" t="s">
        <v>38</v>
      </c>
      <c r="X34" s="23" t="s">
        <v>38</v>
      </c>
      <c r="Y34" s="23" t="s">
        <v>38</v>
      </c>
      <c r="Z34" s="23" t="s">
        <v>38</v>
      </c>
      <c r="AA34" s="23" t="s">
        <v>38</v>
      </c>
      <c r="AB34" s="23" t="s">
        <v>38</v>
      </c>
      <c r="AC34" s="23" t="s">
        <v>38</v>
      </c>
      <c r="AD34" s="23" t="s">
        <v>38</v>
      </c>
      <c r="AE34" s="23" t="s">
        <v>38</v>
      </c>
      <c r="AF34" s="23" t="s">
        <v>38</v>
      </c>
      <c r="AG34" s="23" t="s">
        <v>38</v>
      </c>
      <c r="AH34" s="23" t="s">
        <v>38</v>
      </c>
      <c r="AI34" s="23" t="s">
        <v>38</v>
      </c>
      <c r="AJ34" s="23" t="s">
        <v>38</v>
      </c>
      <c r="AK34" s="23" t="s">
        <v>38</v>
      </c>
      <c r="AL34" s="23" t="s">
        <v>38</v>
      </c>
      <c r="AM34" s="23" t="s">
        <v>38</v>
      </c>
      <c r="AN34" s="23" t="s">
        <v>38</v>
      </c>
      <c r="AO34" s="23" t="s">
        <v>38</v>
      </c>
      <c r="AP34" s="23" t="s">
        <v>38</v>
      </c>
      <c r="AQ34" s="23" t="s">
        <v>38</v>
      </c>
      <c r="AR34" s="23" t="s">
        <v>38</v>
      </c>
      <c r="AS34" s="23" t="s">
        <v>38</v>
      </c>
      <c r="AT34" s="23" t="s">
        <v>38</v>
      </c>
      <c r="AU34" s="23" t="s">
        <v>38</v>
      </c>
      <c r="AV34" s="23" t="s">
        <v>38</v>
      </c>
      <c r="AW34" s="23" t="s">
        <v>38</v>
      </c>
      <c r="AX34" s="23" t="s">
        <v>38</v>
      </c>
      <c r="AY34" s="23" t="s">
        <v>38</v>
      </c>
      <c r="AZ34" s="23" t="s">
        <v>38</v>
      </c>
      <c r="BA34" s="23" t="s">
        <v>38</v>
      </c>
      <c r="BB34" s="23" t="s">
        <v>38</v>
      </c>
      <c r="BC34" s="23" t="s">
        <v>38</v>
      </c>
      <c r="BD34" s="23" t="s">
        <v>38</v>
      </c>
      <c r="BE34" s="23" t="s">
        <v>38</v>
      </c>
      <c r="BF34" s="23" t="s">
        <v>38</v>
      </c>
      <c r="BG34" s="23" t="s">
        <v>38</v>
      </c>
      <c r="BH34" s="23" t="s">
        <v>38</v>
      </c>
      <c r="BI34" s="23" t="s">
        <v>38</v>
      </c>
      <c r="BJ34" s="23" t="s">
        <v>38</v>
      </c>
      <c r="BK34" s="23" t="s">
        <v>38</v>
      </c>
      <c r="BL34" s="23" t="s">
        <v>38</v>
      </c>
      <c r="BM34" s="23" t="s">
        <v>38</v>
      </c>
      <c r="BN34" s="23" t="s">
        <v>38</v>
      </c>
      <c r="BO34" s="23" t="s">
        <v>38</v>
      </c>
      <c r="BP34" s="23" t="s">
        <v>38</v>
      </c>
      <c r="BQ34" s="23" t="s">
        <v>38</v>
      </c>
      <c r="BR34" s="23" t="s">
        <v>38</v>
      </c>
      <c r="BS34" s="23" t="s">
        <v>38</v>
      </c>
      <c r="BT34" s="23" t="s">
        <v>38</v>
      </c>
      <c r="BU34" s="23" t="s">
        <v>38</v>
      </c>
      <c r="BV34" s="23" t="s">
        <v>38</v>
      </c>
      <c r="BW34" s="23" t="s">
        <v>38</v>
      </c>
      <c r="BX34" s="23" t="s">
        <v>38</v>
      </c>
      <c r="BY34" s="69" t="s">
        <v>38</v>
      </c>
      <c r="BZ34" s="69" t="s">
        <v>38</v>
      </c>
      <c r="CA34" s="89" t="s">
        <v>38</v>
      </c>
    </row>
    <row r="35" spans="1:79">
      <c r="A35" s="21">
        <v>26</v>
      </c>
      <c r="B35" s="83">
        <v>254533.69367800001</v>
      </c>
      <c r="C35" s="83">
        <v>4505540.5411999999</v>
      </c>
      <c r="D35" s="19" t="s">
        <v>38</v>
      </c>
      <c r="E35" s="19" t="s">
        <v>38</v>
      </c>
      <c r="F35" s="19" t="s">
        <v>38</v>
      </c>
      <c r="G35" s="19" t="s">
        <v>38</v>
      </c>
      <c r="H35" s="19" t="s">
        <v>38</v>
      </c>
      <c r="I35" s="19" t="s">
        <v>38</v>
      </c>
      <c r="J35" s="19" t="s">
        <v>38</v>
      </c>
      <c r="K35" s="19" t="s">
        <v>38</v>
      </c>
      <c r="L35" s="19" t="s">
        <v>38</v>
      </c>
      <c r="M35" s="19" t="s">
        <v>38</v>
      </c>
      <c r="N35" s="23" t="s">
        <v>38</v>
      </c>
      <c r="O35" s="23" t="s">
        <v>38</v>
      </c>
      <c r="P35" s="23" t="s">
        <v>38</v>
      </c>
      <c r="Q35" s="23" t="s">
        <v>38</v>
      </c>
      <c r="R35" s="23" t="s">
        <v>38</v>
      </c>
      <c r="S35" s="23" t="s">
        <v>38</v>
      </c>
      <c r="T35" s="23" t="s">
        <v>38</v>
      </c>
      <c r="U35" s="23" t="s">
        <v>38</v>
      </c>
      <c r="V35" s="23" t="s">
        <v>38</v>
      </c>
      <c r="W35" s="23" t="s">
        <v>38</v>
      </c>
      <c r="X35" s="23" t="s">
        <v>38</v>
      </c>
      <c r="Y35" s="23" t="s">
        <v>38</v>
      </c>
      <c r="Z35" s="23" t="s">
        <v>38</v>
      </c>
      <c r="AA35" s="23" t="s">
        <v>38</v>
      </c>
      <c r="AB35" s="23" t="s">
        <v>38</v>
      </c>
      <c r="AC35" s="23" t="s">
        <v>38</v>
      </c>
      <c r="AD35" s="23" t="s">
        <v>38</v>
      </c>
      <c r="AE35" s="23" t="s">
        <v>38</v>
      </c>
      <c r="AF35" s="23" t="s">
        <v>38</v>
      </c>
      <c r="AG35" s="23" t="s">
        <v>38</v>
      </c>
      <c r="AH35" s="23" t="s">
        <v>38</v>
      </c>
      <c r="AI35" s="23" t="s">
        <v>38</v>
      </c>
      <c r="AJ35" s="23" t="s">
        <v>38</v>
      </c>
      <c r="AK35" s="23" t="s">
        <v>38</v>
      </c>
      <c r="AL35" s="23" t="s">
        <v>38</v>
      </c>
      <c r="AM35" s="23" t="s">
        <v>38</v>
      </c>
      <c r="AN35" s="23" t="s">
        <v>38</v>
      </c>
      <c r="AO35" s="23" t="s">
        <v>38</v>
      </c>
      <c r="AP35" s="23" t="s">
        <v>38</v>
      </c>
      <c r="AQ35" s="23" t="s">
        <v>38</v>
      </c>
      <c r="AR35" s="23" t="s">
        <v>38</v>
      </c>
      <c r="AS35" s="23" t="s">
        <v>38</v>
      </c>
      <c r="AT35" s="23" t="s">
        <v>38</v>
      </c>
      <c r="AU35" s="23" t="s">
        <v>38</v>
      </c>
      <c r="AV35" s="23" t="s">
        <v>38</v>
      </c>
      <c r="AW35" s="23" t="s">
        <v>38</v>
      </c>
      <c r="AX35" s="23" t="s">
        <v>38</v>
      </c>
      <c r="AY35" s="23" t="s">
        <v>38</v>
      </c>
      <c r="AZ35" s="23" t="s">
        <v>38</v>
      </c>
      <c r="BA35" s="23" t="s">
        <v>38</v>
      </c>
      <c r="BB35" s="23" t="s">
        <v>38</v>
      </c>
      <c r="BC35" s="23" t="s">
        <v>38</v>
      </c>
      <c r="BD35" s="23" t="s">
        <v>38</v>
      </c>
      <c r="BE35" s="23" t="s">
        <v>38</v>
      </c>
      <c r="BF35" s="23" t="s">
        <v>38</v>
      </c>
      <c r="BG35" s="23" t="s">
        <v>38</v>
      </c>
      <c r="BH35" s="23" t="s">
        <v>38</v>
      </c>
      <c r="BI35" s="23" t="s">
        <v>38</v>
      </c>
      <c r="BJ35" s="23" t="s">
        <v>38</v>
      </c>
      <c r="BK35" s="23" t="s">
        <v>38</v>
      </c>
      <c r="BL35" s="23" t="s">
        <v>38</v>
      </c>
      <c r="BM35" s="23" t="s">
        <v>38</v>
      </c>
      <c r="BN35" s="23" t="s">
        <v>38</v>
      </c>
      <c r="BO35" s="23" t="s">
        <v>38</v>
      </c>
      <c r="BP35" s="23" t="s">
        <v>38</v>
      </c>
      <c r="BQ35" s="23" t="s">
        <v>38</v>
      </c>
      <c r="BR35" s="23" t="s">
        <v>38</v>
      </c>
      <c r="BS35" s="23" t="s">
        <v>38</v>
      </c>
      <c r="BT35" s="23" t="s">
        <v>38</v>
      </c>
      <c r="BU35" s="23" t="s">
        <v>38</v>
      </c>
      <c r="BV35" s="23" t="s">
        <v>38</v>
      </c>
      <c r="BW35" s="23" t="s">
        <v>38</v>
      </c>
      <c r="BX35" s="23" t="s">
        <v>38</v>
      </c>
      <c r="BY35" s="69" t="s">
        <v>38</v>
      </c>
      <c r="BZ35" s="69" t="s">
        <v>38</v>
      </c>
      <c r="CA35" s="89" t="s">
        <v>38</v>
      </c>
    </row>
    <row r="36" spans="1:79">
      <c r="A36" s="21">
        <v>27</v>
      </c>
      <c r="B36" s="82">
        <v>254513.240017</v>
      </c>
      <c r="C36" s="82">
        <v>4505597.2084600003</v>
      </c>
      <c r="D36" s="19" t="s">
        <v>38</v>
      </c>
      <c r="E36" s="19">
        <v>0.35499999999999998</v>
      </c>
      <c r="F36" s="19">
        <v>0.34949999999999998</v>
      </c>
      <c r="G36" s="19">
        <v>0.36199999999999999</v>
      </c>
      <c r="H36" s="19">
        <v>0.34099999999999997</v>
      </c>
      <c r="I36" s="19">
        <v>0.25650000000000001</v>
      </c>
      <c r="J36" s="19">
        <v>0.17549999999999999</v>
      </c>
      <c r="K36" s="19">
        <v>0.15049999999999999</v>
      </c>
      <c r="L36" s="19">
        <v>0.27</v>
      </c>
      <c r="M36" s="19">
        <v>0.14050000000000001</v>
      </c>
      <c r="N36" s="16">
        <v>0.161</v>
      </c>
      <c r="O36" s="16">
        <v>0.13800000000000001</v>
      </c>
      <c r="P36" s="16">
        <v>0.122</v>
      </c>
      <c r="Q36" s="16">
        <v>0.24199999999999999</v>
      </c>
      <c r="R36" s="16">
        <v>0.3115</v>
      </c>
      <c r="S36" s="16">
        <v>0.2485</v>
      </c>
      <c r="T36" s="36">
        <v>0.502</v>
      </c>
      <c r="U36" s="36">
        <v>0.34100000000000003</v>
      </c>
      <c r="V36" s="36">
        <v>0.76200000000000001</v>
      </c>
      <c r="W36" s="36">
        <v>0.72699999999999998</v>
      </c>
      <c r="X36" s="36">
        <v>0.38700000000000001</v>
      </c>
      <c r="Y36" s="36">
        <v>0.95499999999999996</v>
      </c>
      <c r="Z36" s="36">
        <v>0.88300000000000001</v>
      </c>
      <c r="AA36" s="36">
        <v>0.80600000000000005</v>
      </c>
      <c r="AB36" s="36">
        <v>0.96699999999999997</v>
      </c>
      <c r="AC36" s="36">
        <v>0.40899999999999997</v>
      </c>
      <c r="AD36" s="36">
        <v>0.34899999999999998</v>
      </c>
      <c r="AE36" s="36">
        <v>0.33900000000000002</v>
      </c>
      <c r="AF36" s="36">
        <v>0.23699999999999999</v>
      </c>
      <c r="AG36" s="36">
        <v>0.29399999999999998</v>
      </c>
      <c r="AH36" s="36">
        <v>0.109</v>
      </c>
      <c r="AI36" s="36">
        <v>0.124</v>
      </c>
      <c r="AJ36" s="36">
        <v>0.218</v>
      </c>
      <c r="AK36" s="36">
        <v>0.21</v>
      </c>
      <c r="AL36" s="36">
        <v>0.54800000000000004</v>
      </c>
      <c r="AM36" s="36">
        <v>0.31900000000000001</v>
      </c>
      <c r="AN36" s="36">
        <v>0.34</v>
      </c>
      <c r="AO36" s="36">
        <v>0.251</v>
      </c>
      <c r="AP36" s="36">
        <v>0.14499999999999999</v>
      </c>
      <c r="AQ36" s="36">
        <v>0.26</v>
      </c>
      <c r="AR36" s="36">
        <v>0.26600000000000001</v>
      </c>
      <c r="AS36" s="36">
        <v>0.219</v>
      </c>
      <c r="AT36" s="36">
        <v>0.24199999999999999</v>
      </c>
      <c r="AU36" s="36">
        <v>0.192</v>
      </c>
      <c r="AV36" s="36">
        <v>0.182</v>
      </c>
      <c r="AW36" s="36">
        <v>0.17199999999999999</v>
      </c>
      <c r="AX36" s="36">
        <v>0.14299999999999999</v>
      </c>
      <c r="AY36" s="36">
        <v>0.30399999999999999</v>
      </c>
      <c r="AZ36" s="36">
        <v>0.214</v>
      </c>
      <c r="BA36" s="36">
        <v>0.252</v>
      </c>
      <c r="BB36" s="37">
        <v>0.20400000000000001</v>
      </c>
      <c r="BC36" s="36">
        <v>0.2215</v>
      </c>
      <c r="BD36" s="23" t="s">
        <v>38</v>
      </c>
      <c r="BE36" s="23" t="s">
        <v>38</v>
      </c>
      <c r="BF36" s="23" t="s">
        <v>38</v>
      </c>
      <c r="BG36" s="36">
        <v>0.4335</v>
      </c>
      <c r="BH36" s="38">
        <v>0.29349999999999998</v>
      </c>
      <c r="BI36" s="38">
        <v>0.32350000000000001</v>
      </c>
      <c r="BJ36" s="38">
        <v>0.36299999999999999</v>
      </c>
      <c r="BK36" s="38">
        <v>0.34899999999999998</v>
      </c>
      <c r="BL36" s="38">
        <v>0.2235</v>
      </c>
      <c r="BM36" s="38">
        <v>0.28949999999999998</v>
      </c>
      <c r="BN36" s="23" t="s">
        <v>38</v>
      </c>
      <c r="BO36" s="40">
        <v>0.3735</v>
      </c>
      <c r="BP36" s="38">
        <v>0.2475</v>
      </c>
      <c r="BQ36" s="38">
        <v>0.2135</v>
      </c>
      <c r="BR36" s="41">
        <v>0.28549999999999998</v>
      </c>
      <c r="BS36" s="41">
        <v>0.19500000000000001</v>
      </c>
      <c r="BT36" s="41">
        <v>0.23620000000000002</v>
      </c>
      <c r="BU36" s="42">
        <v>0.2535</v>
      </c>
      <c r="BV36" s="41">
        <v>0.20150000000000001</v>
      </c>
      <c r="BW36" s="42">
        <v>0.23799999999999999</v>
      </c>
      <c r="BX36" s="42">
        <v>0.26450000000000001</v>
      </c>
      <c r="BY36" s="85">
        <f>(0.528+0.465)/2</f>
        <v>0.49650000000000005</v>
      </c>
      <c r="BZ36" s="85">
        <f>(0.417+0.427)/2</f>
        <v>0.42199999999999999</v>
      </c>
      <c r="CA36" s="89">
        <v>0.60650000000000004</v>
      </c>
    </row>
    <row r="37" spans="1:79">
      <c r="A37" s="21">
        <v>28</v>
      </c>
      <c r="B37" s="82">
        <v>254529.46167600001</v>
      </c>
      <c r="C37" s="82">
        <v>4505586.2259</v>
      </c>
      <c r="D37" s="19" t="s">
        <v>38</v>
      </c>
      <c r="E37" s="19">
        <v>0.246</v>
      </c>
      <c r="F37" s="19">
        <v>0.2515</v>
      </c>
      <c r="G37" s="19">
        <v>0.253</v>
      </c>
      <c r="H37" s="19">
        <v>0.189</v>
      </c>
      <c r="I37" s="19">
        <v>0.16500000000000001</v>
      </c>
      <c r="J37" s="19">
        <v>0.14700000000000002</v>
      </c>
      <c r="K37" s="19">
        <v>8.2500000000000004E-2</v>
      </c>
      <c r="L37" s="19">
        <v>0.11899999999999999</v>
      </c>
      <c r="M37" s="19">
        <v>5.6999999999999995E-2</v>
      </c>
      <c r="N37" s="16">
        <v>0.113</v>
      </c>
      <c r="O37" s="16">
        <v>7.7499999999999999E-2</v>
      </c>
      <c r="P37" s="16">
        <v>7.8E-2</v>
      </c>
      <c r="Q37" s="16">
        <v>0.14850000000000002</v>
      </c>
      <c r="R37" s="23" t="s">
        <v>38</v>
      </c>
      <c r="S37" s="16">
        <v>0.11899999999999999</v>
      </c>
      <c r="T37" s="36">
        <v>0.26600000000000001</v>
      </c>
      <c r="U37" s="36">
        <v>0.25800000000000001</v>
      </c>
      <c r="V37" s="36">
        <v>0.27900000000000003</v>
      </c>
      <c r="W37" s="36">
        <v>0.29499999999999998</v>
      </c>
      <c r="X37" s="36">
        <v>0.23899999999999999</v>
      </c>
      <c r="Y37" s="36">
        <v>0.309</v>
      </c>
      <c r="Z37" s="36">
        <v>0.219</v>
      </c>
      <c r="AA37" s="36">
        <v>0.30199999999999999</v>
      </c>
      <c r="AB37" s="36">
        <v>0.25800000000000001</v>
      </c>
      <c r="AC37" s="36">
        <v>0.23499999999999999</v>
      </c>
      <c r="AD37" s="36">
        <v>0.26600000000000001</v>
      </c>
      <c r="AE37" s="36">
        <v>0.26400000000000001</v>
      </c>
      <c r="AF37" s="36">
        <v>0.16</v>
      </c>
      <c r="AG37" s="36">
        <v>0.186</v>
      </c>
      <c r="AH37" s="36">
        <v>5.0000000000000001E-3</v>
      </c>
      <c r="AI37" s="36">
        <v>0.14399999999999999</v>
      </c>
      <c r="AJ37" s="36">
        <v>0.123</v>
      </c>
      <c r="AK37" s="36">
        <v>0.115</v>
      </c>
      <c r="AL37" s="36">
        <v>0.29399999999999998</v>
      </c>
      <c r="AM37" s="36">
        <v>0.13700000000000001</v>
      </c>
      <c r="AN37" s="36">
        <v>0.23100000000000001</v>
      </c>
      <c r="AO37" s="36">
        <v>0.16400000000000001</v>
      </c>
      <c r="AP37" s="36">
        <v>0.22700000000000001</v>
      </c>
      <c r="AQ37" s="36">
        <v>0.221</v>
      </c>
      <c r="AR37" s="36">
        <v>0.191</v>
      </c>
      <c r="AS37" s="36">
        <v>0.17799999999999999</v>
      </c>
      <c r="AT37" s="36">
        <v>0.16800000000000001</v>
      </c>
      <c r="AU37" s="36">
        <v>0.13700000000000001</v>
      </c>
      <c r="AV37" s="36">
        <v>0.11799999999999999</v>
      </c>
      <c r="AW37" s="36">
        <v>8.5000000000000006E-2</v>
      </c>
      <c r="AX37" s="36">
        <v>8.8999999999999996E-2</v>
      </c>
      <c r="AY37" s="36">
        <v>0.186</v>
      </c>
      <c r="AZ37" s="36">
        <v>0.161</v>
      </c>
      <c r="BA37" s="36">
        <v>0.17699999999999999</v>
      </c>
      <c r="BB37" s="37">
        <v>0.1255</v>
      </c>
      <c r="BC37" s="23" t="s">
        <v>38</v>
      </c>
      <c r="BD37" s="23" t="s">
        <v>38</v>
      </c>
      <c r="BE37" s="23" t="s">
        <v>38</v>
      </c>
      <c r="BF37" s="23" t="s">
        <v>38</v>
      </c>
      <c r="BG37" s="36">
        <v>0.20450000000000002</v>
      </c>
      <c r="BH37" s="38">
        <v>0.20849999999999999</v>
      </c>
      <c r="BI37" s="38">
        <v>0.23749999999999999</v>
      </c>
      <c r="BJ37" s="38">
        <v>0.23549999999999999</v>
      </c>
      <c r="BK37" s="38">
        <v>0.20849999999999999</v>
      </c>
      <c r="BL37" s="38">
        <v>0.23799999999999999</v>
      </c>
      <c r="BM37" s="38">
        <v>0.24099999999999999</v>
      </c>
      <c r="BN37" s="23" t="s">
        <v>38</v>
      </c>
      <c r="BO37" s="40">
        <v>0.22899999999999998</v>
      </c>
      <c r="BP37" s="38">
        <v>0.252</v>
      </c>
      <c r="BQ37" s="38">
        <v>0.18099999999999999</v>
      </c>
      <c r="BR37" s="41">
        <v>0.191</v>
      </c>
      <c r="BS37" s="41">
        <v>0.16850000000000001</v>
      </c>
      <c r="BT37" s="41">
        <v>0.16300000000000001</v>
      </c>
      <c r="BU37" s="42">
        <v>0.1615</v>
      </c>
      <c r="BV37" s="41">
        <v>0.10400000000000001</v>
      </c>
      <c r="BW37" s="42">
        <v>0.1915</v>
      </c>
      <c r="BX37" s="42">
        <v>0.1905</v>
      </c>
      <c r="BY37" s="85">
        <f>(0.249+0.253)/2</f>
        <v>0.251</v>
      </c>
      <c r="BZ37" s="85">
        <f>(0.248+0.251)/2</f>
        <v>0.2495</v>
      </c>
      <c r="CA37" s="89">
        <v>0.33</v>
      </c>
    </row>
    <row r="38" spans="1:79">
      <c r="A38" s="21">
        <v>29</v>
      </c>
      <c r="B38" s="82">
        <v>254562.056644</v>
      </c>
      <c r="C38" s="82">
        <v>4505556.1068799999</v>
      </c>
      <c r="D38" s="19" t="s">
        <v>38</v>
      </c>
      <c r="E38" s="19">
        <v>0.25850000000000001</v>
      </c>
      <c r="F38" s="19">
        <v>0.26250000000000001</v>
      </c>
      <c r="G38" s="19">
        <v>0.27050000000000002</v>
      </c>
      <c r="H38" s="19">
        <v>0.1855</v>
      </c>
      <c r="I38" s="19">
        <v>0.183</v>
      </c>
      <c r="J38" s="19">
        <v>0.14649999999999999</v>
      </c>
      <c r="K38" s="19">
        <v>8.5999999999999993E-2</v>
      </c>
      <c r="L38" s="19">
        <v>0.16549999999999998</v>
      </c>
      <c r="M38" s="19">
        <v>6.8500000000000005E-2</v>
      </c>
      <c r="N38" s="16">
        <v>0.13600000000000001</v>
      </c>
      <c r="O38" s="16">
        <v>6.3E-2</v>
      </c>
      <c r="P38" s="16">
        <v>9.2999999999999999E-2</v>
      </c>
      <c r="Q38" s="16">
        <v>0.19650000000000001</v>
      </c>
      <c r="R38" s="16">
        <v>0.17599999999999999</v>
      </c>
      <c r="S38" s="16">
        <v>0.15049999999999999</v>
      </c>
      <c r="T38" s="36">
        <v>0.26400000000000001</v>
      </c>
      <c r="U38" s="36">
        <v>0.27300000000000002</v>
      </c>
      <c r="V38" s="36">
        <v>0.29099999999999998</v>
      </c>
      <c r="W38" s="36">
        <v>0.27900000000000003</v>
      </c>
      <c r="X38" s="36">
        <v>0.23699999999999999</v>
      </c>
      <c r="Y38" s="36">
        <v>0.28100000000000003</v>
      </c>
      <c r="Z38" s="36">
        <v>0.23599999999999999</v>
      </c>
      <c r="AA38" s="36">
        <v>0.26</v>
      </c>
      <c r="AB38" s="36">
        <v>0.28499999999999998</v>
      </c>
      <c r="AC38" s="36">
        <v>0.254</v>
      </c>
      <c r="AD38" s="36">
        <v>0.28299999999999997</v>
      </c>
      <c r="AE38" s="36">
        <v>3.5000000000000003E-2</v>
      </c>
      <c r="AF38" s="36">
        <v>0.16800000000000001</v>
      </c>
      <c r="AG38" s="36">
        <v>0.16500000000000001</v>
      </c>
      <c r="AH38" s="36">
        <v>0.02</v>
      </c>
      <c r="AI38" s="36">
        <v>0.14099999999999999</v>
      </c>
      <c r="AJ38" s="36">
        <v>0.12</v>
      </c>
      <c r="AK38" s="36">
        <v>0.11700000000000001</v>
      </c>
      <c r="AL38" s="36">
        <v>0.28199999999999997</v>
      </c>
      <c r="AM38" s="36">
        <v>0.13300000000000001</v>
      </c>
      <c r="AN38" s="36">
        <v>0.25900000000000001</v>
      </c>
      <c r="AO38" s="36">
        <v>0.183</v>
      </c>
      <c r="AP38" s="36">
        <v>0.251</v>
      </c>
      <c r="AQ38" s="36">
        <v>0.23</v>
      </c>
      <c r="AR38" s="36">
        <v>0.20499999999999999</v>
      </c>
      <c r="AS38" s="36">
        <v>0.215</v>
      </c>
      <c r="AT38" s="36">
        <v>0.221</v>
      </c>
      <c r="AU38" s="36">
        <v>0.188</v>
      </c>
      <c r="AV38" s="36">
        <v>0.13700000000000001</v>
      </c>
      <c r="AW38" s="36">
        <v>9.7000000000000003E-2</v>
      </c>
      <c r="AX38" s="36">
        <v>9.4E-2</v>
      </c>
      <c r="AY38" s="36">
        <v>0.21</v>
      </c>
      <c r="AZ38" s="36">
        <v>0.182</v>
      </c>
      <c r="BA38" s="36">
        <v>0.25800000000000001</v>
      </c>
      <c r="BB38" s="37">
        <v>0.14399999999999999</v>
      </c>
      <c r="BC38" s="23" t="s">
        <v>38</v>
      </c>
      <c r="BD38" s="23" t="s">
        <v>38</v>
      </c>
      <c r="BE38" s="23" t="s">
        <v>38</v>
      </c>
      <c r="BF38" s="23" t="s">
        <v>38</v>
      </c>
      <c r="BG38" s="36">
        <v>0.216</v>
      </c>
      <c r="BH38" s="38">
        <v>0.22900000000000001</v>
      </c>
      <c r="BI38" s="38">
        <v>0.2465</v>
      </c>
      <c r="BJ38" s="38">
        <v>0.24199999999999999</v>
      </c>
      <c r="BK38" s="38">
        <v>0.23849999999999999</v>
      </c>
      <c r="BL38" s="38">
        <v>0.245</v>
      </c>
      <c r="BM38" s="38">
        <v>0.27700000000000002</v>
      </c>
      <c r="BN38" s="23" t="s">
        <v>38</v>
      </c>
      <c r="BO38" s="40">
        <v>0.2545</v>
      </c>
      <c r="BP38" s="38">
        <v>0.27400000000000002</v>
      </c>
      <c r="BQ38" s="38">
        <v>0.184</v>
      </c>
      <c r="BR38" s="41">
        <v>0.20600000000000002</v>
      </c>
      <c r="BS38" s="41" t="s">
        <v>38</v>
      </c>
      <c r="BT38" s="41">
        <v>0.16400000000000001</v>
      </c>
      <c r="BU38" s="42">
        <v>0.1865</v>
      </c>
      <c r="BV38" s="41">
        <v>0.1065</v>
      </c>
      <c r="BW38" s="42">
        <v>0.216</v>
      </c>
      <c r="BX38" s="42">
        <v>0.23050000000000001</v>
      </c>
      <c r="BY38" s="85">
        <f>(0.229+0.274)/2</f>
        <v>0.2515</v>
      </c>
      <c r="BZ38" s="85">
        <f>(0.252+0.251)/2</f>
        <v>0.2515</v>
      </c>
      <c r="CA38" s="89">
        <v>0.34649999999999997</v>
      </c>
    </row>
    <row r="39" spans="1:79">
      <c r="A39" s="21">
        <v>30</v>
      </c>
      <c r="B39" s="82">
        <v>254600.96687999999</v>
      </c>
      <c r="C39" s="82">
        <v>4505520.1160399998</v>
      </c>
      <c r="D39" s="19" t="s">
        <v>38</v>
      </c>
      <c r="E39" s="19" t="s">
        <v>38</v>
      </c>
      <c r="F39" s="19" t="s">
        <v>38</v>
      </c>
      <c r="G39" s="19" t="s">
        <v>38</v>
      </c>
      <c r="H39" s="19" t="s">
        <v>38</v>
      </c>
      <c r="I39" s="19" t="s">
        <v>38</v>
      </c>
      <c r="J39" s="19" t="s">
        <v>38</v>
      </c>
      <c r="K39" s="19" t="s">
        <v>38</v>
      </c>
      <c r="L39" s="19" t="s">
        <v>38</v>
      </c>
      <c r="M39" s="19" t="s">
        <v>38</v>
      </c>
      <c r="N39" s="23" t="s">
        <v>38</v>
      </c>
      <c r="O39" s="23" t="s">
        <v>38</v>
      </c>
      <c r="P39" s="23" t="s">
        <v>38</v>
      </c>
      <c r="Q39" s="23" t="s">
        <v>38</v>
      </c>
      <c r="R39" s="23" t="s">
        <v>38</v>
      </c>
      <c r="S39" s="23" t="s">
        <v>38</v>
      </c>
      <c r="T39" s="23" t="s">
        <v>38</v>
      </c>
      <c r="U39" s="23" t="s">
        <v>38</v>
      </c>
      <c r="V39" s="23" t="s">
        <v>38</v>
      </c>
      <c r="W39" s="23" t="s">
        <v>38</v>
      </c>
      <c r="X39" s="23" t="s">
        <v>38</v>
      </c>
      <c r="Y39" s="23" t="s">
        <v>38</v>
      </c>
      <c r="Z39" s="23" t="s">
        <v>38</v>
      </c>
      <c r="AA39" s="23" t="s">
        <v>38</v>
      </c>
      <c r="AB39" s="23" t="s">
        <v>38</v>
      </c>
      <c r="AC39" s="23" t="s">
        <v>38</v>
      </c>
      <c r="AD39" s="23" t="s">
        <v>38</v>
      </c>
      <c r="AE39" s="23" t="s">
        <v>38</v>
      </c>
      <c r="AF39" s="23" t="s">
        <v>38</v>
      </c>
      <c r="AG39" s="23" t="s">
        <v>38</v>
      </c>
      <c r="AH39" s="23" t="s">
        <v>38</v>
      </c>
      <c r="AI39" s="23" t="s">
        <v>38</v>
      </c>
      <c r="AJ39" s="23" t="s">
        <v>38</v>
      </c>
      <c r="AK39" s="23" t="s">
        <v>38</v>
      </c>
      <c r="AL39" s="23" t="s">
        <v>38</v>
      </c>
      <c r="AM39" s="23" t="s">
        <v>38</v>
      </c>
      <c r="AN39" s="23" t="s">
        <v>38</v>
      </c>
      <c r="AO39" s="23" t="s">
        <v>38</v>
      </c>
      <c r="AP39" s="23" t="s">
        <v>38</v>
      </c>
      <c r="AQ39" s="23" t="s">
        <v>38</v>
      </c>
      <c r="AR39" s="23" t="s">
        <v>38</v>
      </c>
      <c r="AS39" s="23" t="s">
        <v>38</v>
      </c>
      <c r="AT39" s="23" t="s">
        <v>38</v>
      </c>
      <c r="AU39" s="23" t="s">
        <v>38</v>
      </c>
      <c r="AV39" s="23" t="s">
        <v>38</v>
      </c>
      <c r="AW39" s="23" t="s">
        <v>38</v>
      </c>
      <c r="AX39" s="23" t="s">
        <v>38</v>
      </c>
      <c r="AY39" s="23" t="s">
        <v>38</v>
      </c>
      <c r="AZ39" s="23" t="s">
        <v>38</v>
      </c>
      <c r="BA39" s="23" t="s">
        <v>38</v>
      </c>
      <c r="BB39" s="23" t="s">
        <v>38</v>
      </c>
      <c r="BC39" s="23" t="s">
        <v>38</v>
      </c>
      <c r="BD39" s="23" t="s">
        <v>38</v>
      </c>
      <c r="BE39" s="23" t="s">
        <v>38</v>
      </c>
      <c r="BF39" s="23" t="s">
        <v>38</v>
      </c>
      <c r="BG39" s="36" t="s">
        <v>38</v>
      </c>
      <c r="BH39" s="39" t="s">
        <v>38</v>
      </c>
      <c r="BI39" s="39" t="s">
        <v>38</v>
      </c>
      <c r="BJ39" s="39" t="s">
        <v>38</v>
      </c>
      <c r="BK39" s="39" t="s">
        <v>38</v>
      </c>
      <c r="BL39" s="39" t="s">
        <v>38</v>
      </c>
      <c r="BM39" s="39" t="s">
        <v>38</v>
      </c>
      <c r="BN39" s="23" t="s">
        <v>38</v>
      </c>
      <c r="BO39" s="39" t="s">
        <v>38</v>
      </c>
      <c r="BP39" s="39" t="s">
        <v>38</v>
      </c>
      <c r="BQ39" s="39" t="s">
        <v>38</v>
      </c>
      <c r="BR39" s="39" t="s">
        <v>38</v>
      </c>
      <c r="BS39" s="39" t="s">
        <v>38</v>
      </c>
      <c r="BT39" s="39" t="s">
        <v>38</v>
      </c>
      <c r="BU39" s="39" t="s">
        <v>38</v>
      </c>
      <c r="BV39" s="39" t="s">
        <v>38</v>
      </c>
      <c r="BW39" s="39" t="s">
        <v>38</v>
      </c>
      <c r="BX39" s="47" t="s">
        <v>38</v>
      </c>
      <c r="BY39" s="55" t="s">
        <v>38</v>
      </c>
      <c r="BZ39" s="55" t="s">
        <v>38</v>
      </c>
      <c r="CA39" s="89" t="s">
        <v>38</v>
      </c>
    </row>
    <row r="40" spans="1:79">
      <c r="A40" s="21">
        <v>31</v>
      </c>
      <c r="B40" s="82">
        <v>254602.038967</v>
      </c>
      <c r="C40" s="82">
        <v>4505614.9486699998</v>
      </c>
      <c r="D40" s="19" t="s">
        <v>38</v>
      </c>
      <c r="E40" s="19">
        <v>0.19400000000000001</v>
      </c>
      <c r="F40" s="19">
        <v>0.1925</v>
      </c>
      <c r="G40" s="19">
        <v>0.1845</v>
      </c>
      <c r="H40" s="19">
        <v>0.15350000000000003</v>
      </c>
      <c r="I40" s="19">
        <v>0.13300000000000001</v>
      </c>
      <c r="J40" s="19">
        <v>0.10300000000000001</v>
      </c>
      <c r="K40" s="19">
        <v>4.4499999999999998E-2</v>
      </c>
      <c r="L40" s="19">
        <v>0.11799999999999999</v>
      </c>
      <c r="M40" s="19">
        <v>3.4000000000000002E-2</v>
      </c>
      <c r="N40" s="16">
        <v>9.4500000000000001E-2</v>
      </c>
      <c r="O40" s="16">
        <v>5.2499999999999998E-2</v>
      </c>
      <c r="P40" s="16">
        <v>7.1000000000000008E-2</v>
      </c>
      <c r="Q40" s="16">
        <v>0.11549999999999999</v>
      </c>
      <c r="R40" s="16">
        <v>0.13100000000000001</v>
      </c>
      <c r="S40" s="16">
        <v>9.6500000000000002E-2</v>
      </c>
      <c r="T40" s="36">
        <v>0.14899999999999999</v>
      </c>
      <c r="U40" s="36">
        <v>0.155</v>
      </c>
      <c r="V40" s="36">
        <v>0.16500000000000001</v>
      </c>
      <c r="W40" s="36">
        <v>0.14799999999999999</v>
      </c>
      <c r="X40" s="36">
        <v>0.107</v>
      </c>
      <c r="Y40" s="36">
        <v>9.4E-2</v>
      </c>
      <c r="Z40" s="36">
        <v>0.13900000000000001</v>
      </c>
      <c r="AA40" s="36">
        <v>0.14699999999999999</v>
      </c>
      <c r="AB40" s="36">
        <v>0.186</v>
      </c>
      <c r="AC40" s="36">
        <v>0.155</v>
      </c>
      <c r="AD40" s="36">
        <v>0.16500000000000001</v>
      </c>
      <c r="AE40" s="36">
        <v>0.17100000000000001</v>
      </c>
      <c r="AF40" s="36">
        <v>0.113</v>
      </c>
      <c r="AG40" s="36">
        <v>0.123</v>
      </c>
      <c r="AH40" s="36">
        <v>4.2000000000000003E-2</v>
      </c>
      <c r="AI40" s="36">
        <v>9.7000000000000003E-2</v>
      </c>
      <c r="AJ40" s="36">
        <v>6.7000000000000004E-2</v>
      </c>
      <c r="AK40" s="36">
        <v>6.6000000000000003E-2</v>
      </c>
      <c r="AL40" s="36">
        <v>0.157</v>
      </c>
      <c r="AM40" s="36">
        <v>0.123</v>
      </c>
      <c r="AN40" s="36">
        <v>0.16300000000000001</v>
      </c>
      <c r="AO40" s="36">
        <v>0.126</v>
      </c>
      <c r="AP40" s="36">
        <v>9.0999999999999998E-2</v>
      </c>
      <c r="AQ40" s="36">
        <v>0.18099999999999999</v>
      </c>
      <c r="AR40" s="36">
        <v>0.124</v>
      </c>
      <c r="AS40" s="36">
        <v>0.11</v>
      </c>
      <c r="AT40" s="36">
        <v>0.11899999999999999</v>
      </c>
      <c r="AU40" s="36">
        <v>8.6999999999999994E-2</v>
      </c>
      <c r="AV40" s="36">
        <v>8.5000000000000006E-2</v>
      </c>
      <c r="AW40" s="36">
        <v>5.7000000000000002E-2</v>
      </c>
      <c r="AX40" s="36">
        <v>5.2999999999999999E-2</v>
      </c>
      <c r="AY40" s="36">
        <v>0.108</v>
      </c>
      <c r="AZ40" s="36">
        <v>0.105</v>
      </c>
      <c r="BA40" s="36">
        <v>0.125</v>
      </c>
      <c r="BB40" s="37">
        <v>7.9000000000000001E-2</v>
      </c>
      <c r="BC40" s="36" t="s">
        <v>38</v>
      </c>
      <c r="BD40" s="23" t="s">
        <v>38</v>
      </c>
      <c r="BE40" s="23" t="s">
        <v>38</v>
      </c>
      <c r="BF40" s="23" t="s">
        <v>38</v>
      </c>
      <c r="BG40" s="36">
        <v>0.17099999999999999</v>
      </c>
      <c r="BH40" s="38">
        <v>0.153</v>
      </c>
      <c r="BI40" s="38">
        <v>0.1905</v>
      </c>
      <c r="BJ40" s="38">
        <v>0.19350000000000001</v>
      </c>
      <c r="BK40" s="38">
        <v>0.15849999999999997</v>
      </c>
      <c r="BL40" s="38">
        <v>0.1525</v>
      </c>
      <c r="BM40" s="38">
        <v>0.186</v>
      </c>
      <c r="BN40" s="23" t="s">
        <v>38</v>
      </c>
      <c r="BO40" s="40">
        <v>0.16750000000000001</v>
      </c>
      <c r="BP40" s="38">
        <v>0.17699999999999999</v>
      </c>
      <c r="BQ40" s="38">
        <v>0.13250000000000001</v>
      </c>
      <c r="BR40" s="41">
        <v>0.16799999999999998</v>
      </c>
      <c r="BS40" s="41">
        <v>0.11799999999999999</v>
      </c>
      <c r="BT40" s="41">
        <v>0.11749999999999999</v>
      </c>
      <c r="BU40" s="42">
        <v>0.14699999999999999</v>
      </c>
      <c r="BV40" s="41">
        <v>8.6499999999999994E-2</v>
      </c>
      <c r="BW40" s="42">
        <v>0.17299999999999999</v>
      </c>
      <c r="BX40" s="42">
        <v>0.153</v>
      </c>
      <c r="BY40" s="93" t="s">
        <v>38</v>
      </c>
      <c r="BZ40" s="93"/>
      <c r="CA40" s="89" t="s">
        <v>38</v>
      </c>
    </row>
    <row r="41" spans="1:79">
      <c r="A41" s="21">
        <v>32</v>
      </c>
      <c r="B41" s="82">
        <v>254615.14761499999</v>
      </c>
      <c r="C41" s="82">
        <v>4505653.1930400003</v>
      </c>
      <c r="D41" s="19">
        <v>0.29649999999999999</v>
      </c>
      <c r="E41" s="19">
        <v>0.29699999999999999</v>
      </c>
      <c r="F41" s="19">
        <v>0.29599999999999999</v>
      </c>
      <c r="G41" s="19">
        <v>0.29449999999999998</v>
      </c>
      <c r="H41" s="19">
        <v>0.26300000000000001</v>
      </c>
      <c r="I41" s="19">
        <v>0.25600000000000001</v>
      </c>
      <c r="J41" s="19">
        <v>0.21199999999999999</v>
      </c>
      <c r="K41" s="19">
        <v>0.126</v>
      </c>
      <c r="L41" s="19">
        <v>0.217</v>
      </c>
      <c r="M41" s="19">
        <v>0.1105</v>
      </c>
      <c r="N41" s="16">
        <v>0.17299999999999999</v>
      </c>
      <c r="O41" s="16">
        <v>0.11899999999999999</v>
      </c>
      <c r="P41" s="16">
        <v>0.11550000000000001</v>
      </c>
      <c r="Q41" s="16">
        <v>0.223</v>
      </c>
      <c r="R41" s="16">
        <v>0.2555</v>
      </c>
      <c r="S41" s="16">
        <v>0.21200000000000002</v>
      </c>
      <c r="T41" s="36">
        <v>0.29799999999999999</v>
      </c>
      <c r="U41" s="36">
        <v>0.29799999999999999</v>
      </c>
      <c r="V41" s="36">
        <v>0.30499999999999999</v>
      </c>
      <c r="W41" s="36">
        <v>0.32200000000000001</v>
      </c>
      <c r="X41" s="36">
        <v>0.27600000000000002</v>
      </c>
      <c r="Y41" s="36">
        <v>0.27900000000000003</v>
      </c>
      <c r="Z41" s="36">
        <v>0.27</v>
      </c>
      <c r="AA41" s="36">
        <v>0.27500000000000002</v>
      </c>
      <c r="AB41" s="36">
        <v>0.32800000000000001</v>
      </c>
      <c r="AC41" s="36">
        <v>0.32600000000000001</v>
      </c>
      <c r="AD41" s="36">
        <v>0.313</v>
      </c>
      <c r="AE41" s="36">
        <v>0.29299999999999998</v>
      </c>
      <c r="AF41" s="36">
        <v>0.22700000000000001</v>
      </c>
      <c r="AG41" s="36">
        <v>0.218</v>
      </c>
      <c r="AH41" s="36">
        <v>8.6999999999999994E-2</v>
      </c>
      <c r="AI41" s="36">
        <v>0.153</v>
      </c>
      <c r="AJ41" s="36">
        <v>0.16200000000000001</v>
      </c>
      <c r="AK41" s="36">
        <v>0.13400000000000001</v>
      </c>
      <c r="AL41" s="36">
        <v>0.32100000000000001</v>
      </c>
      <c r="AM41" s="36">
        <v>0.309</v>
      </c>
      <c r="AN41" s="36">
        <v>0.25700000000000001</v>
      </c>
      <c r="AO41" s="36">
        <v>0.19800000000000001</v>
      </c>
      <c r="AP41" s="36">
        <v>0.24399999999999999</v>
      </c>
      <c r="AQ41" s="36">
        <v>0.27400000000000002</v>
      </c>
      <c r="AR41" s="36">
        <v>0.252</v>
      </c>
      <c r="AS41" s="36">
        <v>0.22500000000000001</v>
      </c>
      <c r="AT41" s="36">
        <v>0.22900000000000001</v>
      </c>
      <c r="AU41" s="36">
        <v>0.153</v>
      </c>
      <c r="AV41" s="36">
        <v>0.14000000000000001</v>
      </c>
      <c r="AW41" s="36">
        <v>0.128</v>
      </c>
      <c r="AX41" s="36">
        <v>0.124</v>
      </c>
      <c r="AY41" s="36">
        <v>0.23899999999999999</v>
      </c>
      <c r="AZ41" s="36">
        <v>0.106</v>
      </c>
      <c r="BA41" s="36">
        <v>0.23499999999999999</v>
      </c>
      <c r="BB41" s="37">
        <v>0.16550000000000001</v>
      </c>
      <c r="BC41" s="36">
        <v>0.20450000000000002</v>
      </c>
      <c r="BD41" s="23" t="s">
        <v>38</v>
      </c>
      <c r="BE41" s="23" t="s">
        <v>38</v>
      </c>
      <c r="BF41" s="23" t="s">
        <v>38</v>
      </c>
      <c r="BG41" s="36">
        <v>0.27350000000000002</v>
      </c>
      <c r="BH41" s="38">
        <v>0.25700000000000001</v>
      </c>
      <c r="BI41" s="38">
        <v>0.28200000000000003</v>
      </c>
      <c r="BJ41" s="38">
        <v>0.29299999999999998</v>
      </c>
      <c r="BK41" s="38">
        <v>0.27900000000000003</v>
      </c>
      <c r="BL41" s="38">
        <v>0.28649999999999998</v>
      </c>
      <c r="BM41" s="38">
        <v>0.3105</v>
      </c>
      <c r="BN41" s="23" t="s">
        <v>38</v>
      </c>
      <c r="BO41" s="40">
        <v>0.28649999999999998</v>
      </c>
      <c r="BP41" s="38">
        <v>0.30649999999999999</v>
      </c>
      <c r="BQ41" s="38">
        <v>0.23799999999999999</v>
      </c>
      <c r="BR41" s="41">
        <v>0.26500000000000001</v>
      </c>
      <c r="BS41" s="41">
        <v>0.22850000000000001</v>
      </c>
      <c r="BT41" s="41">
        <v>0.19900000000000001</v>
      </c>
      <c r="BU41" s="42">
        <v>0.23749999999999999</v>
      </c>
      <c r="BV41" s="41">
        <v>0.17149999999999999</v>
      </c>
      <c r="BW41" s="42">
        <v>0.26900000000000002</v>
      </c>
      <c r="BX41" s="42">
        <v>0.27</v>
      </c>
      <c r="BY41" s="85">
        <f>(0.322+0.32)/2</f>
        <v>0.32100000000000001</v>
      </c>
      <c r="BZ41" s="85">
        <f>(0.281+0.303)/2</f>
        <v>0.29200000000000004</v>
      </c>
      <c r="CA41" s="89">
        <v>0.40150000000000002</v>
      </c>
    </row>
    <row r="42" spans="1:79">
      <c r="A42" s="21">
        <v>33</v>
      </c>
      <c r="B42" s="83">
        <v>254630.21045499999</v>
      </c>
      <c r="C42" s="83">
        <v>4505643.6264500003</v>
      </c>
      <c r="D42" s="19" t="s">
        <v>38</v>
      </c>
      <c r="E42" s="19" t="s">
        <v>38</v>
      </c>
      <c r="F42" s="19" t="s">
        <v>38</v>
      </c>
      <c r="G42" s="19" t="s">
        <v>38</v>
      </c>
      <c r="H42" s="19" t="s">
        <v>38</v>
      </c>
      <c r="I42" s="19" t="s">
        <v>38</v>
      </c>
      <c r="J42" s="19" t="s">
        <v>38</v>
      </c>
      <c r="K42" s="19" t="s">
        <v>38</v>
      </c>
      <c r="L42" s="19" t="s">
        <v>38</v>
      </c>
      <c r="M42" s="19" t="s">
        <v>38</v>
      </c>
      <c r="N42" s="23" t="s">
        <v>38</v>
      </c>
      <c r="O42" s="23" t="s">
        <v>38</v>
      </c>
      <c r="P42" s="23" t="s">
        <v>38</v>
      </c>
      <c r="Q42" s="23" t="s">
        <v>38</v>
      </c>
      <c r="R42" s="23" t="s">
        <v>38</v>
      </c>
      <c r="S42" s="23" t="s">
        <v>38</v>
      </c>
      <c r="T42" s="23" t="s">
        <v>38</v>
      </c>
      <c r="U42" s="23" t="s">
        <v>38</v>
      </c>
      <c r="V42" s="23" t="s">
        <v>38</v>
      </c>
      <c r="W42" s="23" t="s">
        <v>38</v>
      </c>
      <c r="X42" s="23" t="s">
        <v>38</v>
      </c>
      <c r="Y42" s="23" t="s">
        <v>38</v>
      </c>
      <c r="Z42" s="23" t="s">
        <v>38</v>
      </c>
      <c r="AA42" s="23" t="s">
        <v>38</v>
      </c>
      <c r="AB42" s="23" t="s">
        <v>38</v>
      </c>
      <c r="AC42" s="23" t="s">
        <v>38</v>
      </c>
      <c r="AD42" s="23" t="s">
        <v>38</v>
      </c>
      <c r="AE42" s="23" t="s">
        <v>38</v>
      </c>
      <c r="AF42" s="23" t="s">
        <v>38</v>
      </c>
      <c r="AG42" s="23" t="s">
        <v>38</v>
      </c>
      <c r="AH42" s="23" t="s">
        <v>38</v>
      </c>
      <c r="AI42" s="23" t="s">
        <v>38</v>
      </c>
      <c r="AJ42" s="23" t="s">
        <v>38</v>
      </c>
      <c r="AK42" s="23" t="s">
        <v>38</v>
      </c>
      <c r="AL42" s="23" t="s">
        <v>38</v>
      </c>
      <c r="AM42" s="23" t="s">
        <v>38</v>
      </c>
      <c r="AN42" s="23" t="s">
        <v>38</v>
      </c>
      <c r="AO42" s="23" t="s">
        <v>38</v>
      </c>
      <c r="AP42" s="23" t="s">
        <v>38</v>
      </c>
      <c r="AQ42" s="23" t="s">
        <v>38</v>
      </c>
      <c r="AR42" s="23" t="s">
        <v>38</v>
      </c>
      <c r="AS42" s="23" t="s">
        <v>38</v>
      </c>
      <c r="AT42" s="23" t="s">
        <v>38</v>
      </c>
      <c r="AU42" s="23" t="s">
        <v>38</v>
      </c>
      <c r="AV42" s="23" t="s">
        <v>38</v>
      </c>
      <c r="AW42" s="23" t="s">
        <v>38</v>
      </c>
      <c r="AX42" s="23" t="s">
        <v>38</v>
      </c>
      <c r="AY42" s="23" t="s">
        <v>38</v>
      </c>
      <c r="AZ42" s="23" t="s">
        <v>38</v>
      </c>
      <c r="BA42" s="23" t="s">
        <v>38</v>
      </c>
      <c r="BB42" s="23" t="s">
        <v>38</v>
      </c>
      <c r="BC42" s="23" t="s">
        <v>38</v>
      </c>
      <c r="BD42" s="23" t="s">
        <v>38</v>
      </c>
      <c r="BE42" s="23" t="s">
        <v>38</v>
      </c>
      <c r="BF42" s="23" t="s">
        <v>38</v>
      </c>
      <c r="BG42" s="23" t="s">
        <v>38</v>
      </c>
      <c r="BH42" s="39" t="s">
        <v>38</v>
      </c>
      <c r="BI42" s="39" t="s">
        <v>38</v>
      </c>
      <c r="BJ42" s="39" t="s">
        <v>38</v>
      </c>
      <c r="BK42" s="39" t="s">
        <v>38</v>
      </c>
      <c r="BL42" s="39" t="s">
        <v>38</v>
      </c>
      <c r="BM42" s="39" t="s">
        <v>38</v>
      </c>
      <c r="BN42" s="39" t="s">
        <v>38</v>
      </c>
      <c r="BO42" s="39" t="s">
        <v>38</v>
      </c>
      <c r="BP42" s="39" t="s">
        <v>38</v>
      </c>
      <c r="BQ42" s="39" t="s">
        <v>38</v>
      </c>
      <c r="BR42" s="39" t="s">
        <v>38</v>
      </c>
      <c r="BS42" s="39" t="s">
        <v>38</v>
      </c>
      <c r="BT42" s="39" t="s">
        <v>38</v>
      </c>
      <c r="BU42" s="39" t="s">
        <v>38</v>
      </c>
      <c r="BV42" s="39" t="s">
        <v>38</v>
      </c>
      <c r="BW42" s="39" t="s">
        <v>38</v>
      </c>
      <c r="BX42" s="39" t="s">
        <v>38</v>
      </c>
      <c r="BY42" s="55" t="s">
        <v>38</v>
      </c>
      <c r="BZ42" s="55" t="s">
        <v>38</v>
      </c>
      <c r="CA42" s="89" t="s">
        <v>38</v>
      </c>
    </row>
    <row r="43" spans="1:79">
      <c r="A43" s="21">
        <v>34</v>
      </c>
      <c r="B43" s="82">
        <v>254645.629514</v>
      </c>
      <c r="C43" s="82">
        <v>4505638.1997999996</v>
      </c>
      <c r="D43" s="19" t="s">
        <v>38</v>
      </c>
      <c r="E43" s="19">
        <v>0.17849999999999999</v>
      </c>
      <c r="F43" s="19">
        <v>0.182</v>
      </c>
      <c r="G43" s="19">
        <v>0.20550000000000002</v>
      </c>
      <c r="H43" s="19">
        <v>0.16199999999999998</v>
      </c>
      <c r="I43" s="19">
        <v>0.16550000000000001</v>
      </c>
      <c r="J43" s="19">
        <v>0.126</v>
      </c>
      <c r="K43" s="19">
        <v>6.1499999999999999E-2</v>
      </c>
      <c r="L43" s="19">
        <v>0.1225</v>
      </c>
      <c r="M43" s="19">
        <v>3.2000000000000001E-2</v>
      </c>
      <c r="N43" s="16">
        <v>0.10200000000000001</v>
      </c>
      <c r="O43" s="16">
        <v>5.8499999999999996E-2</v>
      </c>
      <c r="P43" s="16">
        <v>8.5000000000000006E-2</v>
      </c>
      <c r="Q43" s="16">
        <v>0.14949999999999999</v>
      </c>
      <c r="R43" s="16">
        <v>0.17899999999999999</v>
      </c>
      <c r="S43" s="16">
        <v>0.14300000000000002</v>
      </c>
      <c r="T43" s="36">
        <v>0.193</v>
      </c>
      <c r="U43" s="36">
        <v>0.221</v>
      </c>
      <c r="V43" s="36">
        <v>0.22500000000000001</v>
      </c>
      <c r="W43" s="36">
        <v>0.19600000000000001</v>
      </c>
      <c r="X43" s="36">
        <v>0.13900000000000001</v>
      </c>
      <c r="Y43" s="36">
        <v>0.115</v>
      </c>
      <c r="Z43" s="36">
        <v>0.13800000000000001</v>
      </c>
      <c r="AA43" s="36">
        <v>0.158</v>
      </c>
      <c r="AB43" s="36">
        <v>0.22800000000000001</v>
      </c>
      <c r="AC43" s="36">
        <v>0.221</v>
      </c>
      <c r="AD43" s="36">
        <v>0.19800000000000001</v>
      </c>
      <c r="AE43" s="36">
        <v>0.17499999999999999</v>
      </c>
      <c r="AF43" s="36">
        <v>0.111</v>
      </c>
      <c r="AG43" s="36">
        <v>0.14199999999999999</v>
      </c>
      <c r="AH43" s="36">
        <v>1.4999999999999999E-2</v>
      </c>
      <c r="AI43" s="36">
        <v>0.09</v>
      </c>
      <c r="AJ43" s="36">
        <v>4.9000000000000002E-2</v>
      </c>
      <c r="AK43" s="36">
        <v>7.5999999999999998E-2</v>
      </c>
      <c r="AL43" s="36">
        <v>0.222</v>
      </c>
      <c r="AM43" s="36">
        <v>0.20799999999999999</v>
      </c>
      <c r="AN43" s="36">
        <v>0.18099999999999999</v>
      </c>
      <c r="AO43" s="36">
        <v>0.13100000000000001</v>
      </c>
      <c r="AP43" s="36">
        <v>0.17</v>
      </c>
      <c r="AQ43" s="36">
        <v>0.17599999999999999</v>
      </c>
      <c r="AR43" s="36">
        <v>0.14499999999999999</v>
      </c>
      <c r="AS43" s="36">
        <v>0.13</v>
      </c>
      <c r="AT43" s="36">
        <v>0.128</v>
      </c>
      <c r="AU43" s="36">
        <v>9.9000000000000005E-2</v>
      </c>
      <c r="AV43" s="36">
        <v>8.2000000000000003E-2</v>
      </c>
      <c r="AW43" s="36">
        <v>4.7E-2</v>
      </c>
      <c r="AX43" s="36">
        <v>0.06</v>
      </c>
      <c r="AY43" s="36">
        <v>0.13800000000000001</v>
      </c>
      <c r="AZ43" s="36">
        <v>0.106</v>
      </c>
      <c r="BA43" s="36">
        <v>0.14499999999999999</v>
      </c>
      <c r="BB43" s="37">
        <v>0.105</v>
      </c>
      <c r="BC43" s="36">
        <v>0.14849999999999999</v>
      </c>
      <c r="BD43" s="23" t="s">
        <v>38</v>
      </c>
      <c r="BE43" s="23" t="s">
        <v>38</v>
      </c>
      <c r="BF43" s="23" t="s">
        <v>38</v>
      </c>
      <c r="BG43" s="36">
        <v>0.16199999999999998</v>
      </c>
      <c r="BH43" s="38">
        <v>0.16500000000000001</v>
      </c>
      <c r="BI43" s="38">
        <v>0.20450000000000002</v>
      </c>
      <c r="BJ43" s="38">
        <v>0.186</v>
      </c>
      <c r="BK43" s="38">
        <v>0.1615</v>
      </c>
      <c r="BL43" s="38">
        <v>0.1875</v>
      </c>
      <c r="BM43" s="38">
        <v>0.191</v>
      </c>
      <c r="BN43" s="39" t="s">
        <v>38</v>
      </c>
      <c r="BO43" s="40">
        <v>0.19400000000000001</v>
      </c>
      <c r="BP43" s="38">
        <v>0.215</v>
      </c>
      <c r="BQ43" s="38">
        <v>0.13150000000000001</v>
      </c>
      <c r="BR43" s="41">
        <v>0.152</v>
      </c>
      <c r="BS43" s="41">
        <v>0.11899999999999999</v>
      </c>
      <c r="BT43" s="41">
        <v>0.112</v>
      </c>
      <c r="BU43" s="42">
        <v>0.1105</v>
      </c>
      <c r="BV43" s="41">
        <v>0.03</v>
      </c>
      <c r="BW43" s="42">
        <v>0.17749999999999999</v>
      </c>
      <c r="BX43" s="42">
        <v>0.16800000000000001</v>
      </c>
      <c r="BY43" s="85">
        <f>(0.184+0.163)/2</f>
        <v>0.17349999999999999</v>
      </c>
      <c r="BZ43" s="85">
        <f>(0.189+0.19)/2</f>
        <v>0.1895</v>
      </c>
      <c r="CA43" s="89">
        <v>0.23350000000000001</v>
      </c>
    </row>
    <row r="44" spans="1:79">
      <c r="A44" s="21">
        <v>35</v>
      </c>
      <c r="B44" s="83">
        <v>254670.124698</v>
      </c>
      <c r="C44" s="83">
        <v>4505665.0644100001</v>
      </c>
      <c r="D44" s="19" t="s">
        <v>38</v>
      </c>
      <c r="E44" s="19" t="s">
        <v>38</v>
      </c>
      <c r="F44" s="19" t="s">
        <v>38</v>
      </c>
      <c r="G44" s="19" t="s">
        <v>38</v>
      </c>
      <c r="H44" s="19" t="s">
        <v>38</v>
      </c>
      <c r="I44" s="19" t="s">
        <v>38</v>
      </c>
      <c r="J44" s="19" t="s">
        <v>38</v>
      </c>
      <c r="K44" s="19" t="s">
        <v>38</v>
      </c>
      <c r="L44" s="19" t="s">
        <v>38</v>
      </c>
      <c r="M44" s="19" t="s">
        <v>38</v>
      </c>
      <c r="N44" s="23" t="s">
        <v>38</v>
      </c>
      <c r="O44" s="23" t="s">
        <v>38</v>
      </c>
      <c r="P44" s="23" t="s">
        <v>38</v>
      </c>
      <c r="Q44" s="23" t="s">
        <v>38</v>
      </c>
      <c r="R44" s="23" t="s">
        <v>38</v>
      </c>
      <c r="S44" s="23" t="s">
        <v>38</v>
      </c>
      <c r="T44" s="23" t="s">
        <v>38</v>
      </c>
      <c r="U44" s="23" t="s">
        <v>38</v>
      </c>
      <c r="V44" s="23" t="s">
        <v>38</v>
      </c>
      <c r="W44" s="23" t="s">
        <v>38</v>
      </c>
      <c r="X44" s="23" t="s">
        <v>38</v>
      </c>
      <c r="Y44" s="23" t="s">
        <v>38</v>
      </c>
      <c r="Z44" s="23" t="s">
        <v>38</v>
      </c>
      <c r="AA44" s="23" t="s">
        <v>38</v>
      </c>
      <c r="AB44" s="23" t="s">
        <v>38</v>
      </c>
      <c r="AC44" s="23" t="s">
        <v>38</v>
      </c>
      <c r="AD44" s="23" t="s">
        <v>38</v>
      </c>
      <c r="AE44" s="23" t="s">
        <v>38</v>
      </c>
      <c r="AF44" s="23" t="s">
        <v>38</v>
      </c>
      <c r="AG44" s="23" t="s">
        <v>38</v>
      </c>
      <c r="AH44" s="23" t="s">
        <v>38</v>
      </c>
      <c r="AI44" s="23" t="s">
        <v>38</v>
      </c>
      <c r="AJ44" s="23" t="s">
        <v>38</v>
      </c>
      <c r="AK44" s="23" t="s">
        <v>38</v>
      </c>
      <c r="AL44" s="23" t="s">
        <v>38</v>
      </c>
      <c r="AM44" s="23" t="s">
        <v>38</v>
      </c>
      <c r="AN44" s="23" t="s">
        <v>38</v>
      </c>
      <c r="AO44" s="23" t="s">
        <v>38</v>
      </c>
      <c r="AP44" s="23" t="s">
        <v>38</v>
      </c>
      <c r="AQ44" s="23" t="s">
        <v>38</v>
      </c>
      <c r="AR44" s="23" t="s">
        <v>38</v>
      </c>
      <c r="AS44" s="23" t="s">
        <v>38</v>
      </c>
      <c r="AT44" s="23" t="s">
        <v>38</v>
      </c>
      <c r="AU44" s="23" t="s">
        <v>38</v>
      </c>
      <c r="AV44" s="23" t="s">
        <v>38</v>
      </c>
      <c r="AW44" s="23" t="s">
        <v>38</v>
      </c>
      <c r="AX44" s="23" t="s">
        <v>38</v>
      </c>
      <c r="AY44" s="23" t="s">
        <v>38</v>
      </c>
      <c r="AZ44" s="23" t="s">
        <v>38</v>
      </c>
      <c r="BA44" s="23" t="s">
        <v>38</v>
      </c>
      <c r="BB44" s="23" t="s">
        <v>38</v>
      </c>
      <c r="BC44" s="23" t="s">
        <v>38</v>
      </c>
      <c r="BD44" s="23" t="s">
        <v>38</v>
      </c>
      <c r="BE44" s="23" t="s">
        <v>38</v>
      </c>
      <c r="BF44" s="23" t="s">
        <v>38</v>
      </c>
      <c r="BG44" s="23" t="s">
        <v>38</v>
      </c>
      <c r="BH44" s="23" t="s">
        <v>38</v>
      </c>
      <c r="BI44" s="23" t="s">
        <v>38</v>
      </c>
      <c r="BJ44" s="23" t="s">
        <v>38</v>
      </c>
      <c r="BK44" s="23" t="s">
        <v>38</v>
      </c>
      <c r="BL44" s="23" t="s">
        <v>38</v>
      </c>
      <c r="BM44" s="23" t="s">
        <v>38</v>
      </c>
      <c r="BN44" s="23" t="s">
        <v>38</v>
      </c>
      <c r="BO44" s="23" t="s">
        <v>38</v>
      </c>
      <c r="BP44" s="23" t="s">
        <v>38</v>
      </c>
      <c r="BQ44" s="23" t="s">
        <v>38</v>
      </c>
      <c r="BR44" s="23" t="s">
        <v>38</v>
      </c>
      <c r="BS44" s="23" t="s">
        <v>38</v>
      </c>
      <c r="BT44" s="23" t="s">
        <v>38</v>
      </c>
      <c r="BU44" s="23" t="s">
        <v>38</v>
      </c>
      <c r="BV44" s="23" t="s">
        <v>38</v>
      </c>
      <c r="BW44" s="23" t="s">
        <v>38</v>
      </c>
      <c r="BX44" s="23" t="s">
        <v>38</v>
      </c>
      <c r="BY44" s="69" t="s">
        <v>38</v>
      </c>
      <c r="BZ44" s="69" t="s">
        <v>38</v>
      </c>
      <c r="CA44" s="89" t="s">
        <v>38</v>
      </c>
    </row>
    <row r="45" spans="1:79">
      <c r="A45" s="21">
        <v>36</v>
      </c>
      <c r="B45" s="82">
        <v>254694.327835</v>
      </c>
      <c r="C45" s="82">
        <v>4505677.1803099997</v>
      </c>
      <c r="D45" s="19" t="s">
        <v>38</v>
      </c>
      <c r="E45" s="19" t="s">
        <v>38</v>
      </c>
      <c r="F45" s="19" t="s">
        <v>38</v>
      </c>
      <c r="G45" s="19" t="s">
        <v>38</v>
      </c>
      <c r="H45" s="19" t="s">
        <v>38</v>
      </c>
      <c r="I45" s="19" t="s">
        <v>38</v>
      </c>
      <c r="J45" s="19" t="s">
        <v>38</v>
      </c>
      <c r="K45" s="19" t="s">
        <v>38</v>
      </c>
      <c r="L45" s="19" t="s">
        <v>38</v>
      </c>
      <c r="M45" s="19" t="s">
        <v>38</v>
      </c>
      <c r="N45" s="23" t="s">
        <v>38</v>
      </c>
      <c r="O45" s="23" t="s">
        <v>38</v>
      </c>
      <c r="P45" s="23" t="s">
        <v>38</v>
      </c>
      <c r="Q45" s="23" t="s">
        <v>38</v>
      </c>
      <c r="R45" s="23" t="s">
        <v>38</v>
      </c>
      <c r="S45" s="23" t="s">
        <v>38</v>
      </c>
      <c r="T45" s="23" t="s">
        <v>38</v>
      </c>
      <c r="U45" s="23" t="s">
        <v>38</v>
      </c>
      <c r="V45" s="23" t="s">
        <v>38</v>
      </c>
      <c r="W45" s="23" t="s">
        <v>38</v>
      </c>
      <c r="X45" s="23" t="s">
        <v>38</v>
      </c>
      <c r="Y45" s="23" t="s">
        <v>38</v>
      </c>
      <c r="Z45" s="23" t="s">
        <v>38</v>
      </c>
      <c r="AA45" s="23" t="s">
        <v>38</v>
      </c>
      <c r="AB45" s="23" t="s">
        <v>38</v>
      </c>
      <c r="AC45" s="23" t="s">
        <v>38</v>
      </c>
      <c r="AD45" s="23" t="s">
        <v>38</v>
      </c>
      <c r="AE45" s="23" t="s">
        <v>38</v>
      </c>
      <c r="AF45" s="23" t="s">
        <v>38</v>
      </c>
      <c r="AG45" s="23" t="s">
        <v>38</v>
      </c>
      <c r="AH45" s="23" t="s">
        <v>38</v>
      </c>
      <c r="AI45" s="23" t="s">
        <v>38</v>
      </c>
      <c r="AJ45" s="23" t="s">
        <v>38</v>
      </c>
      <c r="AK45" s="23" t="s">
        <v>38</v>
      </c>
      <c r="AL45" s="23" t="s">
        <v>38</v>
      </c>
      <c r="AM45" s="23" t="s">
        <v>38</v>
      </c>
      <c r="AN45" s="23" t="s">
        <v>38</v>
      </c>
      <c r="AO45" s="23" t="s">
        <v>38</v>
      </c>
      <c r="AP45" s="23" t="s">
        <v>38</v>
      </c>
      <c r="AQ45" s="23" t="s">
        <v>38</v>
      </c>
      <c r="AR45" s="23" t="s">
        <v>38</v>
      </c>
      <c r="AS45" s="23" t="s">
        <v>38</v>
      </c>
      <c r="AT45" s="23" t="s">
        <v>38</v>
      </c>
      <c r="AU45" s="23" t="s">
        <v>38</v>
      </c>
      <c r="AV45" s="23" t="s">
        <v>38</v>
      </c>
      <c r="AW45" s="23" t="s">
        <v>38</v>
      </c>
      <c r="AX45" s="23" t="s">
        <v>38</v>
      </c>
      <c r="AY45" s="23" t="s">
        <v>38</v>
      </c>
      <c r="AZ45" s="23" t="s">
        <v>38</v>
      </c>
      <c r="BA45" s="23" t="s">
        <v>38</v>
      </c>
      <c r="BB45" s="23" t="s">
        <v>38</v>
      </c>
      <c r="BC45" s="23" t="s">
        <v>38</v>
      </c>
      <c r="BD45" s="23" t="s">
        <v>38</v>
      </c>
      <c r="BE45" s="23" t="s">
        <v>38</v>
      </c>
      <c r="BF45" s="23" t="s">
        <v>38</v>
      </c>
      <c r="BG45" s="23" t="s">
        <v>38</v>
      </c>
      <c r="BH45" s="23" t="s">
        <v>38</v>
      </c>
      <c r="BI45" s="23" t="s">
        <v>38</v>
      </c>
      <c r="BJ45" s="23" t="s">
        <v>38</v>
      </c>
      <c r="BK45" s="23" t="s">
        <v>38</v>
      </c>
      <c r="BL45" s="23" t="s">
        <v>38</v>
      </c>
      <c r="BM45" s="23" t="s">
        <v>38</v>
      </c>
      <c r="BN45" s="23" t="s">
        <v>38</v>
      </c>
      <c r="BO45" s="23" t="s">
        <v>38</v>
      </c>
      <c r="BP45" s="23" t="s">
        <v>38</v>
      </c>
      <c r="BQ45" s="23" t="s">
        <v>38</v>
      </c>
      <c r="BR45" s="23" t="s">
        <v>38</v>
      </c>
      <c r="BS45" s="23" t="s">
        <v>38</v>
      </c>
      <c r="BT45" s="23" t="s">
        <v>38</v>
      </c>
      <c r="BU45" s="23" t="s">
        <v>38</v>
      </c>
      <c r="BV45" s="23" t="s">
        <v>38</v>
      </c>
      <c r="BW45" s="23" t="s">
        <v>38</v>
      </c>
      <c r="BX45" s="23" t="s">
        <v>38</v>
      </c>
      <c r="BY45" s="69" t="s">
        <v>38</v>
      </c>
      <c r="BZ45" s="69" t="s">
        <v>38</v>
      </c>
      <c r="CA45" s="89" t="s">
        <v>38</v>
      </c>
    </row>
    <row r="46" spans="1:79">
      <c r="A46" s="21">
        <v>37</v>
      </c>
      <c r="B46" s="82">
        <v>254278.222178</v>
      </c>
      <c r="C46" s="82">
        <v>4505598.09038</v>
      </c>
      <c r="D46" s="19" t="s">
        <v>38</v>
      </c>
      <c r="E46" s="19" t="s">
        <v>38</v>
      </c>
      <c r="F46" s="19" t="s">
        <v>38</v>
      </c>
      <c r="G46" s="19" t="s">
        <v>38</v>
      </c>
      <c r="H46" s="19" t="s">
        <v>38</v>
      </c>
      <c r="I46" s="19" t="s">
        <v>38</v>
      </c>
      <c r="J46" s="19" t="s">
        <v>38</v>
      </c>
      <c r="K46" s="19" t="s">
        <v>38</v>
      </c>
      <c r="L46" s="19" t="s">
        <v>38</v>
      </c>
      <c r="M46" s="19" t="s">
        <v>38</v>
      </c>
      <c r="N46" s="23" t="s">
        <v>38</v>
      </c>
      <c r="O46" s="23" t="s">
        <v>38</v>
      </c>
      <c r="P46" s="23" t="s">
        <v>38</v>
      </c>
      <c r="Q46" s="23" t="s">
        <v>38</v>
      </c>
      <c r="R46" s="23" t="s">
        <v>38</v>
      </c>
      <c r="S46" s="23" t="s">
        <v>38</v>
      </c>
      <c r="T46" s="23" t="s">
        <v>38</v>
      </c>
      <c r="U46" s="23" t="s">
        <v>38</v>
      </c>
      <c r="V46" s="23" t="s">
        <v>38</v>
      </c>
      <c r="W46" s="23" t="s">
        <v>38</v>
      </c>
      <c r="X46" s="23" t="s">
        <v>38</v>
      </c>
      <c r="Y46" s="23" t="s">
        <v>38</v>
      </c>
      <c r="Z46" s="23" t="s">
        <v>38</v>
      </c>
      <c r="AA46" s="23" t="s">
        <v>38</v>
      </c>
      <c r="AB46" s="23" t="s">
        <v>38</v>
      </c>
      <c r="AC46" s="23" t="s">
        <v>38</v>
      </c>
      <c r="AD46" s="23" t="s">
        <v>38</v>
      </c>
      <c r="AE46" s="23" t="s">
        <v>38</v>
      </c>
      <c r="AF46" s="23" t="s">
        <v>38</v>
      </c>
      <c r="AG46" s="23" t="s">
        <v>38</v>
      </c>
      <c r="AH46" s="23" t="s">
        <v>38</v>
      </c>
      <c r="AI46" s="23" t="s">
        <v>38</v>
      </c>
      <c r="AJ46" s="23" t="s">
        <v>38</v>
      </c>
      <c r="AK46" s="23" t="s">
        <v>38</v>
      </c>
      <c r="AL46" s="23" t="s">
        <v>38</v>
      </c>
      <c r="AM46" s="23" t="s">
        <v>38</v>
      </c>
      <c r="AN46" s="23" t="s">
        <v>38</v>
      </c>
      <c r="AO46" s="23" t="s">
        <v>38</v>
      </c>
      <c r="AP46" s="23" t="s">
        <v>38</v>
      </c>
      <c r="AQ46" s="23" t="s">
        <v>38</v>
      </c>
      <c r="AR46" s="23" t="s">
        <v>38</v>
      </c>
      <c r="AS46" s="23" t="s">
        <v>38</v>
      </c>
      <c r="AT46" s="23" t="s">
        <v>38</v>
      </c>
      <c r="AU46" s="23" t="s">
        <v>38</v>
      </c>
      <c r="AV46" s="23" t="s">
        <v>38</v>
      </c>
      <c r="AW46" s="23" t="s">
        <v>38</v>
      </c>
      <c r="AX46" s="23" t="s">
        <v>38</v>
      </c>
      <c r="AY46" s="23" t="s">
        <v>38</v>
      </c>
      <c r="AZ46" s="23" t="s">
        <v>38</v>
      </c>
      <c r="BA46" s="23" t="s">
        <v>38</v>
      </c>
      <c r="BB46" s="23" t="s">
        <v>38</v>
      </c>
      <c r="BC46" s="23" t="s">
        <v>38</v>
      </c>
      <c r="BD46" s="23" t="s">
        <v>38</v>
      </c>
      <c r="BE46" s="23" t="s">
        <v>38</v>
      </c>
      <c r="BF46" s="23" t="s">
        <v>38</v>
      </c>
      <c r="BG46" s="23" t="s">
        <v>38</v>
      </c>
      <c r="BH46" s="23" t="s">
        <v>38</v>
      </c>
      <c r="BI46" s="23" t="s">
        <v>38</v>
      </c>
      <c r="BJ46" s="23" t="s">
        <v>38</v>
      </c>
      <c r="BK46" s="23" t="s">
        <v>38</v>
      </c>
      <c r="BL46" s="23" t="s">
        <v>38</v>
      </c>
      <c r="BM46" s="23" t="s">
        <v>38</v>
      </c>
      <c r="BN46" s="23" t="s">
        <v>38</v>
      </c>
      <c r="BO46" s="23" t="s">
        <v>38</v>
      </c>
      <c r="BP46" s="23" t="s">
        <v>38</v>
      </c>
      <c r="BQ46" s="23" t="s">
        <v>38</v>
      </c>
      <c r="BR46" s="23" t="s">
        <v>38</v>
      </c>
      <c r="BS46" s="23" t="s">
        <v>38</v>
      </c>
      <c r="BT46" s="23" t="s">
        <v>38</v>
      </c>
      <c r="BU46" s="23" t="s">
        <v>38</v>
      </c>
      <c r="BV46" s="23" t="s">
        <v>38</v>
      </c>
      <c r="BW46" s="23" t="s">
        <v>38</v>
      </c>
      <c r="BX46" s="23" t="s">
        <v>38</v>
      </c>
      <c r="BY46" s="69" t="s">
        <v>38</v>
      </c>
      <c r="BZ46" s="69" t="s">
        <v>38</v>
      </c>
      <c r="CA46" s="89" t="s">
        <v>38</v>
      </c>
    </row>
    <row r="47" spans="1:79">
      <c r="A47" s="21">
        <v>38</v>
      </c>
      <c r="B47" s="82">
        <v>254283.86705500001</v>
      </c>
      <c r="C47" s="82">
        <v>4505606.6247800002</v>
      </c>
      <c r="D47" s="19" t="s">
        <v>38</v>
      </c>
      <c r="E47" s="19">
        <v>0.27950000000000003</v>
      </c>
      <c r="F47" s="19">
        <v>0.25750000000000001</v>
      </c>
      <c r="G47" s="19">
        <v>0.30649999999999999</v>
      </c>
      <c r="H47" s="19">
        <v>0.19900000000000001</v>
      </c>
      <c r="I47" s="19">
        <v>0.20300000000000001</v>
      </c>
      <c r="J47" s="19">
        <v>0.16599999999999998</v>
      </c>
      <c r="K47" s="19">
        <v>0.13350000000000001</v>
      </c>
      <c r="L47" s="19">
        <v>0.2195</v>
      </c>
      <c r="M47" s="19">
        <v>0.13550000000000001</v>
      </c>
      <c r="N47" s="16">
        <v>0.156</v>
      </c>
      <c r="O47" s="16">
        <v>0.13</v>
      </c>
      <c r="P47" s="16">
        <v>0.114</v>
      </c>
      <c r="Q47" s="16">
        <v>0.20150000000000001</v>
      </c>
      <c r="R47" s="16">
        <v>0.22500000000000001</v>
      </c>
      <c r="S47" s="16">
        <v>0.14599999999999999</v>
      </c>
      <c r="T47" s="36">
        <v>0.45500000000000002</v>
      </c>
      <c r="U47" s="36">
        <v>0.45500000000000002</v>
      </c>
      <c r="V47" s="36">
        <v>0.48099999999999998</v>
      </c>
      <c r="W47" s="36">
        <v>0.53500000000000003</v>
      </c>
      <c r="X47" s="36">
        <v>0.37</v>
      </c>
      <c r="Y47" s="36">
        <v>0.26600000000000001</v>
      </c>
      <c r="Z47" s="36">
        <v>0.32600000000000001</v>
      </c>
      <c r="AA47" s="36">
        <v>0.377</v>
      </c>
      <c r="AB47" s="36">
        <v>0.39900000000000002</v>
      </c>
      <c r="AC47" s="36">
        <v>0.28100000000000003</v>
      </c>
      <c r="AD47" s="36">
        <v>0.3</v>
      </c>
      <c r="AE47" s="36">
        <v>0.26300000000000001</v>
      </c>
      <c r="AF47" s="36">
        <v>0.24399999999999999</v>
      </c>
      <c r="AG47" s="36">
        <v>0.26600000000000001</v>
      </c>
      <c r="AH47" s="36">
        <v>8.3000000000000004E-2</v>
      </c>
      <c r="AI47" s="36">
        <v>0.218</v>
      </c>
      <c r="AJ47" s="36">
        <v>0.23200000000000001</v>
      </c>
      <c r="AK47" s="36">
        <v>0.183</v>
      </c>
      <c r="AL47" s="23" t="s">
        <v>38</v>
      </c>
      <c r="AM47" s="36">
        <v>0.41599999999999998</v>
      </c>
      <c r="AN47" s="36">
        <v>0.20300000000000001</v>
      </c>
      <c r="AO47" s="36">
        <v>0.19</v>
      </c>
      <c r="AP47" s="36">
        <v>0.32200000000000001</v>
      </c>
      <c r="AQ47" s="36">
        <v>0.26200000000000001</v>
      </c>
      <c r="AR47" s="36">
        <v>0.221</v>
      </c>
      <c r="AS47" s="36">
        <v>0.19500000000000001</v>
      </c>
      <c r="AT47" s="36">
        <v>0.214</v>
      </c>
      <c r="AU47" s="36">
        <v>0.16</v>
      </c>
      <c r="AV47" s="36">
        <v>0.16500000000000001</v>
      </c>
      <c r="AW47" s="36">
        <v>0.14399999999999999</v>
      </c>
      <c r="AX47" s="36">
        <v>0.13</v>
      </c>
      <c r="AY47" s="36">
        <v>0.25600000000000001</v>
      </c>
      <c r="AZ47" s="36">
        <v>0.189</v>
      </c>
      <c r="BA47" s="36">
        <v>0.26200000000000001</v>
      </c>
      <c r="BB47" s="37">
        <v>0.13800000000000001</v>
      </c>
      <c r="BC47" s="36">
        <v>0.22099999999999997</v>
      </c>
      <c r="BD47" s="23" t="s">
        <v>38</v>
      </c>
      <c r="BE47" s="23" t="s">
        <v>38</v>
      </c>
      <c r="BF47" s="23" t="s">
        <v>38</v>
      </c>
      <c r="BG47" s="36">
        <v>0.2475</v>
      </c>
      <c r="BH47" s="38">
        <v>0.28949999999999998</v>
      </c>
      <c r="BI47" s="38">
        <v>0.26500000000000001</v>
      </c>
      <c r="BJ47" s="38">
        <v>0.26250000000000001</v>
      </c>
      <c r="BK47" s="38">
        <v>0.28200000000000003</v>
      </c>
      <c r="BL47" s="38">
        <v>0.22500000000000001</v>
      </c>
      <c r="BM47" s="38">
        <v>0.26350000000000001</v>
      </c>
      <c r="BN47" s="40">
        <v>0.26549999999999996</v>
      </c>
      <c r="BO47" s="40">
        <v>0.3115</v>
      </c>
      <c r="BP47" s="38">
        <v>0.30649999999999999</v>
      </c>
      <c r="BQ47" s="38">
        <v>0.18049999999999999</v>
      </c>
      <c r="BR47" s="41">
        <v>0.249</v>
      </c>
      <c r="BS47" s="41">
        <v>0.17249999999999999</v>
      </c>
      <c r="BT47" s="41">
        <v>0.18149999999999999</v>
      </c>
      <c r="BU47" s="42">
        <v>0.22500000000000001</v>
      </c>
      <c r="BV47" s="41">
        <v>9.5000000000000001E-2</v>
      </c>
      <c r="BW47" s="42">
        <v>0.2535</v>
      </c>
      <c r="BX47" s="42">
        <v>0.248</v>
      </c>
      <c r="BY47" s="85">
        <f>(0.285+0.287)/2</f>
        <v>0.28599999999999998</v>
      </c>
      <c r="BZ47" s="85">
        <f>(0.489+0.459)/2</f>
        <v>0.47399999999999998</v>
      </c>
      <c r="CA47" s="89">
        <v>0.314</v>
      </c>
    </row>
    <row r="48" spans="1:79">
      <c r="A48" s="21">
        <v>39</v>
      </c>
      <c r="B48" s="83">
        <v>254326.89087</v>
      </c>
      <c r="C48" s="83">
        <v>4505589.7420199998</v>
      </c>
      <c r="D48" s="19" t="s">
        <v>38</v>
      </c>
      <c r="E48" s="19" t="s">
        <v>38</v>
      </c>
      <c r="F48" s="19" t="s">
        <v>38</v>
      </c>
      <c r="G48" s="19" t="s">
        <v>38</v>
      </c>
      <c r="H48" s="19" t="s">
        <v>38</v>
      </c>
      <c r="I48" s="19" t="s">
        <v>38</v>
      </c>
      <c r="J48" s="19" t="s">
        <v>38</v>
      </c>
      <c r="K48" s="19" t="s">
        <v>38</v>
      </c>
      <c r="L48" s="19" t="s">
        <v>38</v>
      </c>
      <c r="M48" s="19" t="s">
        <v>38</v>
      </c>
      <c r="N48" s="23" t="s">
        <v>38</v>
      </c>
      <c r="O48" s="23" t="s">
        <v>38</v>
      </c>
      <c r="P48" s="23" t="s">
        <v>38</v>
      </c>
      <c r="Q48" s="23" t="s">
        <v>38</v>
      </c>
      <c r="R48" s="23" t="s">
        <v>38</v>
      </c>
      <c r="S48" s="23" t="s">
        <v>38</v>
      </c>
      <c r="T48" s="23" t="s">
        <v>38</v>
      </c>
      <c r="U48" s="23" t="s">
        <v>38</v>
      </c>
      <c r="V48" s="23" t="s">
        <v>38</v>
      </c>
      <c r="W48" s="23" t="s">
        <v>38</v>
      </c>
      <c r="X48" s="23" t="s">
        <v>38</v>
      </c>
      <c r="Y48" s="23" t="s">
        <v>38</v>
      </c>
      <c r="Z48" s="23" t="s">
        <v>38</v>
      </c>
      <c r="AA48" s="23" t="s">
        <v>38</v>
      </c>
      <c r="AB48" s="23" t="s">
        <v>38</v>
      </c>
      <c r="AC48" s="23" t="s">
        <v>38</v>
      </c>
      <c r="AD48" s="23" t="s">
        <v>38</v>
      </c>
      <c r="AE48" s="23" t="s">
        <v>38</v>
      </c>
      <c r="AF48" s="23" t="s">
        <v>38</v>
      </c>
      <c r="AG48" s="23" t="s">
        <v>38</v>
      </c>
      <c r="AH48" s="23" t="s">
        <v>38</v>
      </c>
      <c r="AI48" s="23" t="s">
        <v>38</v>
      </c>
      <c r="AJ48" s="23" t="s">
        <v>38</v>
      </c>
      <c r="AK48" s="23" t="s">
        <v>38</v>
      </c>
      <c r="AL48" s="23" t="s">
        <v>38</v>
      </c>
      <c r="AM48" s="23" t="s">
        <v>38</v>
      </c>
      <c r="AN48" s="23" t="s">
        <v>38</v>
      </c>
      <c r="AO48" s="23" t="s">
        <v>38</v>
      </c>
      <c r="AP48" s="23" t="s">
        <v>38</v>
      </c>
      <c r="AQ48" s="23" t="s">
        <v>38</v>
      </c>
      <c r="AR48" s="23" t="s">
        <v>38</v>
      </c>
      <c r="AS48" s="23" t="s">
        <v>38</v>
      </c>
      <c r="AT48" s="23" t="s">
        <v>38</v>
      </c>
      <c r="AU48" s="23" t="s">
        <v>38</v>
      </c>
      <c r="AV48" s="23" t="s">
        <v>38</v>
      </c>
      <c r="AW48" s="23" t="s">
        <v>38</v>
      </c>
      <c r="AX48" s="23" t="s">
        <v>38</v>
      </c>
      <c r="AY48" s="23" t="s">
        <v>38</v>
      </c>
      <c r="AZ48" s="23" t="s">
        <v>38</v>
      </c>
      <c r="BA48" s="23" t="s">
        <v>38</v>
      </c>
      <c r="BB48" s="23" t="s">
        <v>38</v>
      </c>
      <c r="BC48" s="23" t="s">
        <v>38</v>
      </c>
      <c r="BD48" s="23" t="s">
        <v>38</v>
      </c>
      <c r="BE48" s="23" t="s">
        <v>38</v>
      </c>
      <c r="BF48" s="23" t="s">
        <v>38</v>
      </c>
      <c r="BG48" s="23" t="s">
        <v>38</v>
      </c>
      <c r="BH48" s="23" t="s">
        <v>38</v>
      </c>
      <c r="BI48" s="23" t="s">
        <v>38</v>
      </c>
      <c r="BJ48" s="23" t="s">
        <v>38</v>
      </c>
      <c r="BK48" s="23" t="s">
        <v>38</v>
      </c>
      <c r="BL48" s="23" t="s">
        <v>38</v>
      </c>
      <c r="BM48" s="23" t="s">
        <v>38</v>
      </c>
      <c r="BN48" s="23" t="s">
        <v>38</v>
      </c>
      <c r="BO48" s="23" t="s">
        <v>38</v>
      </c>
      <c r="BP48" s="23" t="s">
        <v>38</v>
      </c>
      <c r="BQ48" s="23" t="s">
        <v>38</v>
      </c>
      <c r="BR48" s="23" t="s">
        <v>38</v>
      </c>
      <c r="BS48" s="23" t="s">
        <v>38</v>
      </c>
      <c r="BT48" s="23" t="s">
        <v>38</v>
      </c>
      <c r="BU48" s="23" t="s">
        <v>38</v>
      </c>
      <c r="BV48" s="23" t="s">
        <v>38</v>
      </c>
      <c r="BW48" s="23" t="s">
        <v>38</v>
      </c>
      <c r="BX48" s="23" t="s">
        <v>38</v>
      </c>
      <c r="BY48" s="69" t="s">
        <v>38</v>
      </c>
      <c r="BZ48" s="69" t="s">
        <v>38</v>
      </c>
      <c r="CA48" s="89" t="s">
        <v>38</v>
      </c>
    </row>
    <row r="49" spans="1:79">
      <c r="A49" s="21">
        <v>40</v>
      </c>
      <c r="B49" s="82">
        <v>254322.92004600001</v>
      </c>
      <c r="C49" s="82">
        <v>4505620.3210300002</v>
      </c>
      <c r="D49" s="19">
        <v>0.26800000000000002</v>
      </c>
      <c r="E49" s="19">
        <v>0.25650000000000001</v>
      </c>
      <c r="F49" s="19">
        <v>0.27550000000000002</v>
      </c>
      <c r="G49" s="19">
        <v>0.25750000000000001</v>
      </c>
      <c r="H49" s="19">
        <v>0.21550000000000002</v>
      </c>
      <c r="I49" s="19">
        <v>0.189</v>
      </c>
      <c r="J49" s="19">
        <v>0.16199999999999998</v>
      </c>
      <c r="K49" s="19">
        <v>0.11749999999999999</v>
      </c>
      <c r="L49" s="19">
        <v>0.19400000000000001</v>
      </c>
      <c r="M49" s="19">
        <v>0.11649999999999999</v>
      </c>
      <c r="N49" s="16">
        <v>0.14549999999999999</v>
      </c>
      <c r="O49" s="16">
        <v>0.11449999999999999</v>
      </c>
      <c r="P49" s="16">
        <v>0.13150000000000001</v>
      </c>
      <c r="Q49" s="16">
        <v>0.20499999999999999</v>
      </c>
      <c r="R49" s="16">
        <v>0.22500000000000001</v>
      </c>
      <c r="S49" s="16">
        <v>0.19800000000000001</v>
      </c>
      <c r="T49" s="36">
        <v>0.25600000000000001</v>
      </c>
      <c r="U49" s="36">
        <v>0.26200000000000001</v>
      </c>
      <c r="V49" s="36">
        <v>0.26300000000000001</v>
      </c>
      <c r="W49" s="36">
        <v>0.26300000000000001</v>
      </c>
      <c r="X49" s="36">
        <v>0.24</v>
      </c>
      <c r="Y49" s="36">
        <v>0.19500000000000001</v>
      </c>
      <c r="Z49" s="36">
        <v>0.249</v>
      </c>
      <c r="AA49" s="36">
        <v>0.26</v>
      </c>
      <c r="AB49" s="36">
        <v>0.27800000000000002</v>
      </c>
      <c r="AC49" s="36">
        <v>0.215</v>
      </c>
      <c r="AD49" s="36">
        <v>0.247</v>
      </c>
      <c r="AE49" s="36">
        <v>0.26200000000000001</v>
      </c>
      <c r="AF49" s="36">
        <v>0.19600000000000001</v>
      </c>
      <c r="AG49" s="36">
        <v>0.215</v>
      </c>
      <c r="AH49" s="36">
        <v>6.6000000000000003E-2</v>
      </c>
      <c r="AI49" s="36">
        <v>0.16200000000000001</v>
      </c>
      <c r="AJ49" s="36">
        <v>0.153</v>
      </c>
      <c r="AK49" s="36">
        <v>0.151</v>
      </c>
      <c r="AL49" s="23" t="s">
        <v>38</v>
      </c>
      <c r="AM49" s="36">
        <v>0.307</v>
      </c>
      <c r="AN49" s="36">
        <v>0.22900000000000001</v>
      </c>
      <c r="AO49" s="36">
        <v>0.17699999999999999</v>
      </c>
      <c r="AP49" s="36">
        <v>0.17499999999999999</v>
      </c>
      <c r="AQ49" s="36">
        <v>0.219</v>
      </c>
      <c r="AR49" s="36">
        <v>0.20599999999999999</v>
      </c>
      <c r="AS49" s="36">
        <v>0.19900000000000001</v>
      </c>
      <c r="AT49" s="36">
        <v>0.19900000000000001</v>
      </c>
      <c r="AU49" s="36">
        <v>0.16500000000000001</v>
      </c>
      <c r="AV49" s="36">
        <v>0.14399999999999999</v>
      </c>
      <c r="AW49" s="36">
        <v>0.13</v>
      </c>
      <c r="AX49" s="36">
        <v>0.122</v>
      </c>
      <c r="AY49" s="36">
        <v>0.18</v>
      </c>
      <c r="AZ49" s="36">
        <v>0.17599999999999999</v>
      </c>
      <c r="BA49" s="36">
        <v>0.16800000000000001</v>
      </c>
      <c r="BB49" s="37">
        <v>0.1305</v>
      </c>
      <c r="BC49" s="36">
        <v>0.17199999999999999</v>
      </c>
      <c r="BD49" s="23" t="s">
        <v>38</v>
      </c>
      <c r="BE49" s="23" t="s">
        <v>38</v>
      </c>
      <c r="BF49" s="23" t="s">
        <v>38</v>
      </c>
      <c r="BG49" s="36">
        <v>0.2205</v>
      </c>
      <c r="BH49" s="38">
        <v>0.23</v>
      </c>
      <c r="BI49" s="38">
        <v>0.246</v>
      </c>
      <c r="BJ49" s="38">
        <v>0.23250000000000001</v>
      </c>
      <c r="BK49" s="38">
        <v>0.222</v>
      </c>
      <c r="BL49" s="38">
        <v>0.24399999999999999</v>
      </c>
      <c r="BM49" s="38">
        <v>0.23</v>
      </c>
      <c r="BN49" s="40">
        <v>0.23449999999999999</v>
      </c>
      <c r="BO49" s="40">
        <v>0.23299999999999998</v>
      </c>
      <c r="BP49" s="38">
        <v>0.2465</v>
      </c>
      <c r="BQ49" s="38">
        <v>0.17299999999999999</v>
      </c>
      <c r="BR49" s="41">
        <v>0.20100000000000001</v>
      </c>
      <c r="BS49" s="41">
        <v>0.16649999999999998</v>
      </c>
      <c r="BT49" s="41">
        <v>0.156</v>
      </c>
      <c r="BU49" s="42">
        <v>0.16500000000000001</v>
      </c>
      <c r="BV49" s="41">
        <v>0.12</v>
      </c>
      <c r="BW49" s="42">
        <v>0.214</v>
      </c>
      <c r="BX49" s="42">
        <v>0.2</v>
      </c>
      <c r="BY49" s="85">
        <f>(0.272+0.286)/2</f>
        <v>0.27900000000000003</v>
      </c>
      <c r="BZ49" s="85">
        <f>(0.359+0.339)/2</f>
        <v>0.34899999999999998</v>
      </c>
      <c r="CA49" s="89">
        <v>0.26800000000000002</v>
      </c>
    </row>
    <row r="50" spans="1:79">
      <c r="A50" s="21">
        <v>41</v>
      </c>
      <c r="B50" s="82">
        <v>254361.30648100001</v>
      </c>
      <c r="C50" s="82">
        <v>4505599.5975200003</v>
      </c>
      <c r="D50" s="19" t="s">
        <v>38</v>
      </c>
      <c r="E50" s="19" t="s">
        <v>38</v>
      </c>
      <c r="F50" s="19" t="s">
        <v>38</v>
      </c>
      <c r="G50" s="19" t="s">
        <v>38</v>
      </c>
      <c r="H50" s="19" t="s">
        <v>38</v>
      </c>
      <c r="I50" s="19" t="s">
        <v>38</v>
      </c>
      <c r="J50" s="19" t="s">
        <v>38</v>
      </c>
      <c r="K50" s="19" t="s">
        <v>38</v>
      </c>
      <c r="L50" s="19" t="s">
        <v>38</v>
      </c>
      <c r="M50" s="19" t="s">
        <v>38</v>
      </c>
      <c r="N50" s="23" t="s">
        <v>38</v>
      </c>
      <c r="O50" s="23" t="s">
        <v>38</v>
      </c>
      <c r="P50" s="23" t="s">
        <v>38</v>
      </c>
      <c r="Q50" s="23" t="s">
        <v>38</v>
      </c>
      <c r="R50" s="23" t="s">
        <v>38</v>
      </c>
      <c r="S50" s="23" t="s">
        <v>38</v>
      </c>
      <c r="T50" s="23" t="s">
        <v>38</v>
      </c>
      <c r="U50" s="23" t="s">
        <v>38</v>
      </c>
      <c r="V50" s="23" t="s">
        <v>38</v>
      </c>
      <c r="W50" s="23" t="s">
        <v>38</v>
      </c>
      <c r="X50" s="23" t="s">
        <v>38</v>
      </c>
      <c r="Y50" s="23" t="s">
        <v>38</v>
      </c>
      <c r="Z50" s="23" t="s">
        <v>38</v>
      </c>
      <c r="AA50" s="23" t="s">
        <v>38</v>
      </c>
      <c r="AB50" s="23" t="s">
        <v>38</v>
      </c>
      <c r="AC50" s="23" t="s">
        <v>38</v>
      </c>
      <c r="AD50" s="23" t="s">
        <v>38</v>
      </c>
      <c r="AE50" s="23" t="s">
        <v>38</v>
      </c>
      <c r="AF50" s="23" t="s">
        <v>38</v>
      </c>
      <c r="AG50" s="23" t="s">
        <v>38</v>
      </c>
      <c r="AH50" s="23" t="s">
        <v>38</v>
      </c>
      <c r="AI50" s="23" t="s">
        <v>38</v>
      </c>
      <c r="AJ50" s="23" t="s">
        <v>38</v>
      </c>
      <c r="AK50" s="23" t="s">
        <v>38</v>
      </c>
      <c r="AL50" s="23" t="s">
        <v>38</v>
      </c>
      <c r="AM50" s="23" t="s">
        <v>38</v>
      </c>
      <c r="AN50" s="23" t="s">
        <v>38</v>
      </c>
      <c r="AO50" s="23" t="s">
        <v>38</v>
      </c>
      <c r="AP50" s="23" t="s">
        <v>38</v>
      </c>
      <c r="AQ50" s="23" t="s">
        <v>38</v>
      </c>
      <c r="AR50" s="23" t="s">
        <v>38</v>
      </c>
      <c r="AS50" s="23" t="s">
        <v>38</v>
      </c>
      <c r="AT50" s="23" t="s">
        <v>38</v>
      </c>
      <c r="AU50" s="23" t="s">
        <v>38</v>
      </c>
      <c r="AV50" s="23" t="s">
        <v>38</v>
      </c>
      <c r="AW50" s="23" t="s">
        <v>38</v>
      </c>
      <c r="AX50" s="23" t="s">
        <v>38</v>
      </c>
      <c r="AY50" s="23" t="s">
        <v>38</v>
      </c>
      <c r="AZ50" s="23" t="s">
        <v>38</v>
      </c>
      <c r="BA50" s="23" t="s">
        <v>38</v>
      </c>
      <c r="BB50" s="23" t="s">
        <v>38</v>
      </c>
      <c r="BC50" s="23" t="s">
        <v>38</v>
      </c>
      <c r="BD50" s="23" t="s">
        <v>38</v>
      </c>
      <c r="BE50" s="23" t="s">
        <v>38</v>
      </c>
      <c r="BF50" s="23" t="s">
        <v>38</v>
      </c>
      <c r="BG50" s="23" t="s">
        <v>38</v>
      </c>
      <c r="BH50" s="23" t="s">
        <v>38</v>
      </c>
      <c r="BI50" s="23" t="s">
        <v>38</v>
      </c>
      <c r="BJ50" s="23" t="s">
        <v>38</v>
      </c>
      <c r="BK50" s="23" t="s">
        <v>38</v>
      </c>
      <c r="BL50" s="23" t="s">
        <v>38</v>
      </c>
      <c r="BM50" s="23" t="s">
        <v>38</v>
      </c>
      <c r="BN50" s="23" t="s">
        <v>38</v>
      </c>
      <c r="BO50" s="23" t="s">
        <v>38</v>
      </c>
      <c r="BP50" s="23" t="s">
        <v>38</v>
      </c>
      <c r="BQ50" s="23" t="s">
        <v>38</v>
      </c>
      <c r="BR50" s="23" t="s">
        <v>38</v>
      </c>
      <c r="BS50" s="23" t="s">
        <v>38</v>
      </c>
      <c r="BT50" s="23" t="s">
        <v>38</v>
      </c>
      <c r="BU50" s="23" t="s">
        <v>38</v>
      </c>
      <c r="BV50" s="23" t="s">
        <v>38</v>
      </c>
      <c r="BW50" s="23" t="s">
        <v>38</v>
      </c>
      <c r="BX50" s="23" t="s">
        <v>38</v>
      </c>
      <c r="BY50" s="69" t="s">
        <v>38</v>
      </c>
      <c r="BZ50" s="69" t="s">
        <v>38</v>
      </c>
      <c r="CA50" s="89" t="s">
        <v>38</v>
      </c>
    </row>
    <row r="51" spans="1:79">
      <c r="A51" s="21">
        <v>42</v>
      </c>
      <c r="B51" s="83">
        <v>254379.907389</v>
      </c>
      <c r="C51" s="83">
        <v>4505630.6267799996</v>
      </c>
      <c r="D51" s="19" t="s">
        <v>38</v>
      </c>
      <c r="E51" s="19" t="s">
        <v>38</v>
      </c>
      <c r="F51" s="19" t="s">
        <v>38</v>
      </c>
      <c r="G51" s="19" t="s">
        <v>38</v>
      </c>
      <c r="H51" s="19" t="s">
        <v>38</v>
      </c>
      <c r="I51" s="19" t="s">
        <v>38</v>
      </c>
      <c r="J51" s="19" t="s">
        <v>38</v>
      </c>
      <c r="K51" s="19" t="s">
        <v>38</v>
      </c>
      <c r="L51" s="19" t="s">
        <v>38</v>
      </c>
      <c r="M51" s="19" t="s">
        <v>38</v>
      </c>
      <c r="N51" s="23" t="s">
        <v>38</v>
      </c>
      <c r="O51" s="23" t="s">
        <v>38</v>
      </c>
      <c r="P51" s="23" t="s">
        <v>38</v>
      </c>
      <c r="Q51" s="23" t="s">
        <v>38</v>
      </c>
      <c r="R51" s="23" t="s">
        <v>38</v>
      </c>
      <c r="S51" s="23" t="s">
        <v>38</v>
      </c>
      <c r="T51" s="23" t="s">
        <v>38</v>
      </c>
      <c r="U51" s="23" t="s">
        <v>38</v>
      </c>
      <c r="V51" s="23" t="s">
        <v>38</v>
      </c>
      <c r="W51" s="23" t="s">
        <v>38</v>
      </c>
      <c r="X51" s="23" t="s">
        <v>38</v>
      </c>
      <c r="Y51" s="23" t="s">
        <v>38</v>
      </c>
      <c r="Z51" s="23" t="s">
        <v>38</v>
      </c>
      <c r="AA51" s="23" t="s">
        <v>38</v>
      </c>
      <c r="AB51" s="23" t="s">
        <v>38</v>
      </c>
      <c r="AC51" s="23" t="s">
        <v>38</v>
      </c>
      <c r="AD51" s="23" t="s">
        <v>38</v>
      </c>
      <c r="AE51" s="23" t="s">
        <v>38</v>
      </c>
      <c r="AF51" s="23" t="s">
        <v>38</v>
      </c>
      <c r="AG51" s="23" t="s">
        <v>38</v>
      </c>
      <c r="AH51" s="23" t="s">
        <v>38</v>
      </c>
      <c r="AI51" s="23" t="s">
        <v>38</v>
      </c>
      <c r="AJ51" s="23" t="s">
        <v>38</v>
      </c>
      <c r="AK51" s="23" t="s">
        <v>38</v>
      </c>
      <c r="AL51" s="23" t="s">
        <v>38</v>
      </c>
      <c r="AM51" s="23" t="s">
        <v>38</v>
      </c>
      <c r="AN51" s="23" t="s">
        <v>38</v>
      </c>
      <c r="AO51" s="23" t="s">
        <v>38</v>
      </c>
      <c r="AP51" s="23" t="s">
        <v>38</v>
      </c>
      <c r="AQ51" s="23" t="s">
        <v>38</v>
      </c>
      <c r="AR51" s="23" t="s">
        <v>38</v>
      </c>
      <c r="AS51" s="23" t="s">
        <v>38</v>
      </c>
      <c r="AT51" s="23" t="s">
        <v>38</v>
      </c>
      <c r="AU51" s="23" t="s">
        <v>38</v>
      </c>
      <c r="AV51" s="23" t="s">
        <v>38</v>
      </c>
      <c r="AW51" s="23" t="s">
        <v>38</v>
      </c>
      <c r="AX51" s="23" t="s">
        <v>38</v>
      </c>
      <c r="AY51" s="23" t="s">
        <v>38</v>
      </c>
      <c r="AZ51" s="23" t="s">
        <v>38</v>
      </c>
      <c r="BA51" s="23" t="s">
        <v>38</v>
      </c>
      <c r="BB51" s="23" t="s">
        <v>38</v>
      </c>
      <c r="BC51" s="23" t="s">
        <v>38</v>
      </c>
      <c r="BD51" s="23" t="s">
        <v>38</v>
      </c>
      <c r="BE51" s="23" t="s">
        <v>38</v>
      </c>
      <c r="BF51" s="23" t="s">
        <v>38</v>
      </c>
      <c r="BG51" s="23" t="s">
        <v>38</v>
      </c>
      <c r="BH51" s="23" t="s">
        <v>38</v>
      </c>
      <c r="BI51" s="23" t="s">
        <v>38</v>
      </c>
      <c r="BJ51" s="23" t="s">
        <v>38</v>
      </c>
      <c r="BK51" s="23" t="s">
        <v>38</v>
      </c>
      <c r="BL51" s="23" t="s">
        <v>38</v>
      </c>
      <c r="BM51" s="23" t="s">
        <v>38</v>
      </c>
      <c r="BN51" s="23" t="s">
        <v>38</v>
      </c>
      <c r="BO51" s="23" t="s">
        <v>38</v>
      </c>
      <c r="BP51" s="23" t="s">
        <v>38</v>
      </c>
      <c r="BQ51" s="23" t="s">
        <v>38</v>
      </c>
      <c r="BR51" s="23" t="s">
        <v>38</v>
      </c>
      <c r="BS51" s="23" t="s">
        <v>38</v>
      </c>
      <c r="BT51" s="23" t="s">
        <v>38</v>
      </c>
      <c r="BU51" s="23" t="s">
        <v>38</v>
      </c>
      <c r="BV51" s="23" t="s">
        <v>38</v>
      </c>
      <c r="BW51" s="23" t="s">
        <v>38</v>
      </c>
      <c r="BX51" s="23" t="s">
        <v>38</v>
      </c>
      <c r="BY51" s="69" t="s">
        <v>38</v>
      </c>
      <c r="BZ51" s="69" t="s">
        <v>38</v>
      </c>
      <c r="CA51" s="89" t="s">
        <v>38</v>
      </c>
    </row>
    <row r="52" spans="1:79">
      <c r="A52" s="21">
        <v>43</v>
      </c>
      <c r="B52" s="83">
        <v>254361.50803699999</v>
      </c>
      <c r="C52" s="83">
        <v>4505641.8651099997</v>
      </c>
      <c r="D52" s="19" t="s">
        <v>38</v>
      </c>
      <c r="E52" s="19" t="s">
        <v>38</v>
      </c>
      <c r="F52" s="19" t="s">
        <v>38</v>
      </c>
      <c r="G52" s="19" t="s">
        <v>38</v>
      </c>
      <c r="H52" s="19" t="s">
        <v>38</v>
      </c>
      <c r="I52" s="19" t="s">
        <v>38</v>
      </c>
      <c r="J52" s="19" t="s">
        <v>38</v>
      </c>
      <c r="K52" s="19" t="s">
        <v>38</v>
      </c>
      <c r="L52" s="19" t="s">
        <v>38</v>
      </c>
      <c r="M52" s="19" t="s">
        <v>38</v>
      </c>
      <c r="N52" s="23" t="s">
        <v>38</v>
      </c>
      <c r="O52" s="23" t="s">
        <v>38</v>
      </c>
      <c r="P52" s="23" t="s">
        <v>38</v>
      </c>
      <c r="Q52" s="23" t="s">
        <v>38</v>
      </c>
      <c r="R52" s="23" t="s">
        <v>38</v>
      </c>
      <c r="S52" s="23" t="s">
        <v>38</v>
      </c>
      <c r="T52" s="23" t="s">
        <v>38</v>
      </c>
      <c r="U52" s="23" t="s">
        <v>38</v>
      </c>
      <c r="V52" s="23" t="s">
        <v>38</v>
      </c>
      <c r="W52" s="23" t="s">
        <v>38</v>
      </c>
      <c r="X52" s="23" t="s">
        <v>38</v>
      </c>
      <c r="Y52" s="23" t="s">
        <v>38</v>
      </c>
      <c r="Z52" s="23" t="s">
        <v>38</v>
      </c>
      <c r="AA52" s="23" t="s">
        <v>38</v>
      </c>
      <c r="AB52" s="23" t="s">
        <v>38</v>
      </c>
      <c r="AC52" s="23" t="s">
        <v>38</v>
      </c>
      <c r="AD52" s="23" t="s">
        <v>38</v>
      </c>
      <c r="AE52" s="23" t="s">
        <v>38</v>
      </c>
      <c r="AF52" s="23" t="s">
        <v>38</v>
      </c>
      <c r="AG52" s="23" t="s">
        <v>38</v>
      </c>
      <c r="AH52" s="23" t="s">
        <v>38</v>
      </c>
      <c r="AI52" s="23" t="s">
        <v>38</v>
      </c>
      <c r="AJ52" s="23" t="s">
        <v>38</v>
      </c>
      <c r="AK52" s="23" t="s">
        <v>38</v>
      </c>
      <c r="AL52" s="23" t="s">
        <v>38</v>
      </c>
      <c r="AM52" s="23" t="s">
        <v>38</v>
      </c>
      <c r="AN52" s="23" t="s">
        <v>38</v>
      </c>
      <c r="AO52" s="23" t="s">
        <v>38</v>
      </c>
      <c r="AP52" s="23" t="s">
        <v>38</v>
      </c>
      <c r="AQ52" s="23" t="s">
        <v>38</v>
      </c>
      <c r="AR52" s="23" t="s">
        <v>38</v>
      </c>
      <c r="AS52" s="23" t="s">
        <v>38</v>
      </c>
      <c r="AT52" s="23" t="s">
        <v>38</v>
      </c>
      <c r="AU52" s="23" t="s">
        <v>38</v>
      </c>
      <c r="AV52" s="23" t="s">
        <v>38</v>
      </c>
      <c r="AW52" s="23" t="s">
        <v>38</v>
      </c>
      <c r="AX52" s="23" t="s">
        <v>38</v>
      </c>
      <c r="AY52" s="23" t="s">
        <v>38</v>
      </c>
      <c r="AZ52" s="23" t="s">
        <v>38</v>
      </c>
      <c r="BA52" s="23" t="s">
        <v>38</v>
      </c>
      <c r="BB52" s="23" t="s">
        <v>38</v>
      </c>
      <c r="BC52" s="23" t="s">
        <v>38</v>
      </c>
      <c r="BD52" s="23" t="s">
        <v>38</v>
      </c>
      <c r="BE52" s="23" t="s">
        <v>38</v>
      </c>
      <c r="BF52" s="23" t="s">
        <v>38</v>
      </c>
      <c r="BG52" s="23" t="s">
        <v>38</v>
      </c>
      <c r="BH52" s="23" t="s">
        <v>38</v>
      </c>
      <c r="BI52" s="23" t="s">
        <v>38</v>
      </c>
      <c r="BJ52" s="23" t="s">
        <v>38</v>
      </c>
      <c r="BK52" s="23" t="s">
        <v>38</v>
      </c>
      <c r="BL52" s="23" t="s">
        <v>38</v>
      </c>
      <c r="BM52" s="23" t="s">
        <v>38</v>
      </c>
      <c r="BN52" s="23" t="s">
        <v>38</v>
      </c>
      <c r="BO52" s="23" t="s">
        <v>38</v>
      </c>
      <c r="BP52" s="23" t="s">
        <v>38</v>
      </c>
      <c r="BQ52" s="23" t="s">
        <v>38</v>
      </c>
      <c r="BR52" s="23" t="s">
        <v>38</v>
      </c>
      <c r="BS52" s="23" t="s">
        <v>38</v>
      </c>
      <c r="BT52" s="23" t="s">
        <v>38</v>
      </c>
      <c r="BU52" s="23" t="s">
        <v>38</v>
      </c>
      <c r="BV52" s="23" t="s">
        <v>38</v>
      </c>
      <c r="BW52" s="23" t="s">
        <v>38</v>
      </c>
      <c r="BX52" s="23" t="s">
        <v>38</v>
      </c>
      <c r="BY52" s="69" t="s">
        <v>38</v>
      </c>
      <c r="BZ52" s="69" t="s">
        <v>38</v>
      </c>
      <c r="CA52" s="89" t="s">
        <v>38</v>
      </c>
    </row>
    <row r="53" spans="1:79">
      <c r="A53" s="21">
        <v>44</v>
      </c>
      <c r="B53" s="82">
        <v>254358.81478300001</v>
      </c>
      <c r="C53" s="82">
        <v>4505658.5760300001</v>
      </c>
      <c r="D53" s="19">
        <v>0.255</v>
      </c>
      <c r="E53" s="19">
        <v>0.28549999999999998</v>
      </c>
      <c r="F53" s="19">
        <v>0.27100000000000002</v>
      </c>
      <c r="G53" s="19">
        <v>0.28549999999999998</v>
      </c>
      <c r="H53" s="19">
        <v>0.2175</v>
      </c>
      <c r="I53" s="19">
        <v>0.16649999999999998</v>
      </c>
      <c r="J53" s="19">
        <v>0.13750000000000001</v>
      </c>
      <c r="K53" s="19">
        <v>0.1105</v>
      </c>
      <c r="L53" s="19">
        <v>0.1845</v>
      </c>
      <c r="M53" s="19">
        <v>8.9499999999999996E-2</v>
      </c>
      <c r="N53" s="16">
        <v>0.14499999999999999</v>
      </c>
      <c r="O53" s="16">
        <v>0.1125</v>
      </c>
      <c r="P53" s="16">
        <v>0.1105</v>
      </c>
      <c r="Q53" s="16">
        <v>0.2225</v>
      </c>
      <c r="R53" s="16">
        <v>0.1895</v>
      </c>
      <c r="S53" s="16">
        <v>0.17699999999999999</v>
      </c>
      <c r="T53" s="36">
        <v>0.27300000000000002</v>
      </c>
      <c r="U53" s="36">
        <v>0.311</v>
      </c>
      <c r="V53" s="36">
        <v>0.30199999999999999</v>
      </c>
      <c r="W53" s="36">
        <v>0.29499999999999998</v>
      </c>
      <c r="X53" s="36">
        <v>0.255</v>
      </c>
      <c r="Y53" s="36">
        <v>0.19400000000000001</v>
      </c>
      <c r="Z53" s="36">
        <v>0.24199999999999999</v>
      </c>
      <c r="AA53" s="36">
        <v>0.253</v>
      </c>
      <c r="AB53" s="36">
        <v>0.29699999999999999</v>
      </c>
      <c r="AC53" s="36">
        <v>0.3</v>
      </c>
      <c r="AD53" s="36">
        <v>0.249</v>
      </c>
      <c r="AE53" s="36">
        <v>0.215</v>
      </c>
      <c r="AF53" s="36">
        <v>0.16300000000000001</v>
      </c>
      <c r="AG53" s="36">
        <v>0.185</v>
      </c>
      <c r="AH53" s="36">
        <v>7.2999999999999995E-2</v>
      </c>
      <c r="AI53" s="36">
        <v>0.13700000000000001</v>
      </c>
      <c r="AJ53" s="23" t="s">
        <v>38</v>
      </c>
      <c r="AK53" s="36">
        <v>0.13300000000000001</v>
      </c>
      <c r="AL53" s="23" t="s">
        <v>38</v>
      </c>
      <c r="AM53" s="36">
        <v>0.253</v>
      </c>
      <c r="AN53" s="36">
        <v>0.20699999999999999</v>
      </c>
      <c r="AO53" s="36">
        <v>0.183</v>
      </c>
      <c r="AP53" s="36">
        <v>0.114</v>
      </c>
      <c r="AQ53" s="36">
        <v>0.192</v>
      </c>
      <c r="AR53" s="36">
        <v>0.158</v>
      </c>
      <c r="AS53" s="36">
        <v>0.155</v>
      </c>
      <c r="AT53" s="36">
        <v>0.16300000000000001</v>
      </c>
      <c r="AU53" s="36">
        <v>0.122</v>
      </c>
      <c r="AV53" s="36">
        <v>0.121</v>
      </c>
      <c r="AW53" s="36">
        <v>0.13400000000000001</v>
      </c>
      <c r="AX53" s="36">
        <v>0.115</v>
      </c>
      <c r="AY53" s="36">
        <v>0.188</v>
      </c>
      <c r="AZ53" s="36">
        <v>0.156</v>
      </c>
      <c r="BA53" s="36">
        <v>0.188</v>
      </c>
      <c r="BB53" s="37">
        <v>0.10150000000000001</v>
      </c>
      <c r="BC53" s="36">
        <v>0.16350000000000001</v>
      </c>
      <c r="BD53" s="23" t="s">
        <v>38</v>
      </c>
      <c r="BE53" s="23" t="s">
        <v>38</v>
      </c>
      <c r="BF53" s="23" t="s">
        <v>38</v>
      </c>
      <c r="BG53" s="36">
        <v>0.23649999999999999</v>
      </c>
      <c r="BH53" s="38">
        <v>0.2485</v>
      </c>
      <c r="BI53" s="39" t="s">
        <v>38</v>
      </c>
      <c r="BJ53" s="38">
        <v>0.20499999999999999</v>
      </c>
      <c r="BK53" s="38">
        <v>0.23649999999999999</v>
      </c>
      <c r="BL53" s="38">
        <v>0.23799999999999999</v>
      </c>
      <c r="BM53" s="38">
        <v>0.2195</v>
      </c>
      <c r="BN53" s="40">
        <v>0.217</v>
      </c>
      <c r="BO53" s="40">
        <v>0.22299999999999998</v>
      </c>
      <c r="BP53" s="38">
        <v>0.2205</v>
      </c>
      <c r="BQ53" s="38">
        <v>0.13750000000000001</v>
      </c>
      <c r="BR53" s="41">
        <v>0.185</v>
      </c>
      <c r="BS53" s="41">
        <v>0.13750000000000001</v>
      </c>
      <c r="BT53" s="41">
        <v>0.124</v>
      </c>
      <c r="BU53" s="42">
        <v>0.154</v>
      </c>
      <c r="BV53" s="41">
        <v>0.11449999999999999</v>
      </c>
      <c r="BW53" s="42">
        <v>0.184</v>
      </c>
      <c r="BX53" s="42">
        <v>0.185</v>
      </c>
      <c r="BY53" s="85">
        <f>(0.238+0.241)/2</f>
        <v>0.23949999999999999</v>
      </c>
      <c r="BZ53" s="85">
        <f>(0.324+0.36)/2</f>
        <v>0.34199999999999997</v>
      </c>
      <c r="CA53" s="89">
        <v>0.25750000000000001</v>
      </c>
    </row>
    <row r="54" spans="1:79">
      <c r="A54" s="21">
        <v>45</v>
      </c>
      <c r="B54" s="82">
        <v>254403.621078</v>
      </c>
      <c r="C54" s="82">
        <v>4505611.4397299998</v>
      </c>
      <c r="D54" s="19">
        <v>0.28449999999999998</v>
      </c>
      <c r="E54" s="19">
        <v>0.2455</v>
      </c>
      <c r="F54" s="19">
        <v>0.28499999999999998</v>
      </c>
      <c r="G54" s="19">
        <v>0.27750000000000002</v>
      </c>
      <c r="H54" s="19">
        <v>0.20450000000000002</v>
      </c>
      <c r="I54" s="19">
        <v>0.17549999999999999</v>
      </c>
      <c r="J54" s="19">
        <v>0.14000000000000001</v>
      </c>
      <c r="K54" s="19">
        <v>0.105</v>
      </c>
      <c r="L54" s="19">
        <v>0.1195</v>
      </c>
      <c r="M54" s="19">
        <v>8.5000000000000006E-2</v>
      </c>
      <c r="N54" s="16">
        <v>0.13250000000000001</v>
      </c>
      <c r="O54" s="16">
        <v>8.2000000000000003E-2</v>
      </c>
      <c r="P54" s="16">
        <v>0.10450000000000001</v>
      </c>
      <c r="Q54" s="16">
        <v>0.20150000000000001</v>
      </c>
      <c r="R54" s="16">
        <v>0.20799999999999999</v>
      </c>
      <c r="S54" s="16">
        <v>0.1585</v>
      </c>
      <c r="T54" s="36">
        <v>0.27</v>
      </c>
      <c r="U54" s="36">
        <v>0.27100000000000002</v>
      </c>
      <c r="V54" s="36">
        <v>0.27900000000000003</v>
      </c>
      <c r="W54" s="36">
        <v>0.29899999999999999</v>
      </c>
      <c r="X54" s="36">
        <v>0.26500000000000001</v>
      </c>
      <c r="Y54" s="36">
        <v>0.24399999999999999</v>
      </c>
      <c r="Z54" s="36">
        <v>0.26300000000000001</v>
      </c>
      <c r="AA54" s="36">
        <v>0.28599999999999998</v>
      </c>
      <c r="AB54" s="36">
        <v>0.28100000000000003</v>
      </c>
      <c r="AC54" s="36">
        <v>0.27700000000000002</v>
      </c>
      <c r="AD54" s="36">
        <v>0.255</v>
      </c>
      <c r="AE54" s="36">
        <v>0.23200000000000001</v>
      </c>
      <c r="AF54" s="36">
        <v>0.16800000000000001</v>
      </c>
      <c r="AG54" s="36">
        <v>0.16</v>
      </c>
      <c r="AH54" s="36">
        <v>4.5999999999999999E-2</v>
      </c>
      <c r="AI54" s="36">
        <v>0.159</v>
      </c>
      <c r="AJ54" s="36">
        <v>0.13</v>
      </c>
      <c r="AK54" s="36">
        <v>0.127</v>
      </c>
      <c r="AL54" s="23" t="s">
        <v>38</v>
      </c>
      <c r="AM54" s="36">
        <v>0.28799999999999998</v>
      </c>
      <c r="AN54" s="36">
        <v>0.246</v>
      </c>
      <c r="AO54" s="36">
        <v>0.186</v>
      </c>
      <c r="AP54" s="36">
        <v>0.20699999999999999</v>
      </c>
      <c r="AQ54" s="36">
        <v>0.19900000000000001</v>
      </c>
      <c r="AR54" s="36">
        <v>0.17899999999999999</v>
      </c>
      <c r="AS54" s="36">
        <v>0.17299999999999999</v>
      </c>
      <c r="AT54" s="36">
        <v>0.17899999999999999</v>
      </c>
      <c r="AU54" s="36">
        <v>0.14199999999999999</v>
      </c>
      <c r="AV54" s="36">
        <v>0.123</v>
      </c>
      <c r="AW54" s="36">
        <v>0.14099999999999999</v>
      </c>
      <c r="AX54" s="36">
        <v>0.11600000000000001</v>
      </c>
      <c r="AY54" s="36">
        <v>0.183</v>
      </c>
      <c r="AZ54" s="36">
        <v>0.16600000000000001</v>
      </c>
      <c r="BA54" s="36">
        <v>0.217</v>
      </c>
      <c r="BB54" s="37">
        <v>0.15</v>
      </c>
      <c r="BC54" s="36">
        <v>0.20650000000000002</v>
      </c>
      <c r="BD54" s="23" t="s">
        <v>38</v>
      </c>
      <c r="BE54" s="23" t="s">
        <v>38</v>
      </c>
      <c r="BF54" s="23" t="s">
        <v>38</v>
      </c>
      <c r="BG54" s="36">
        <v>0.23150000000000001</v>
      </c>
      <c r="BH54" s="38">
        <v>0.221</v>
      </c>
      <c r="BI54" s="38">
        <v>0.26850000000000002</v>
      </c>
      <c r="BJ54" s="38">
        <v>0.2145</v>
      </c>
      <c r="BK54" s="38">
        <v>0.2455</v>
      </c>
      <c r="BL54" s="38">
        <v>0.2535</v>
      </c>
      <c r="BM54" s="38">
        <v>0.27700000000000002</v>
      </c>
      <c r="BN54" s="40">
        <v>0.26600000000000001</v>
      </c>
      <c r="BO54" s="40">
        <v>0.25800000000000001</v>
      </c>
      <c r="BP54" s="38">
        <v>0.26600000000000001</v>
      </c>
      <c r="BQ54" s="38">
        <v>0.13950000000000001</v>
      </c>
      <c r="BR54" s="41">
        <v>0.17599999999999999</v>
      </c>
      <c r="BS54" s="47" t="s">
        <v>38</v>
      </c>
      <c r="BT54" s="41">
        <v>0.13200000000000001</v>
      </c>
      <c r="BU54" s="42" t="s">
        <v>38</v>
      </c>
      <c r="BV54" s="41">
        <v>9.4E-2</v>
      </c>
      <c r="BW54" s="42">
        <v>0.17349999999999999</v>
      </c>
      <c r="BX54" s="42">
        <v>0.17249999999999999</v>
      </c>
      <c r="BY54" s="85">
        <f>(0.285+0.275)/2</f>
        <v>0.28000000000000003</v>
      </c>
      <c r="BZ54" s="85">
        <f>(0.388+0.353)/2</f>
        <v>0.3705</v>
      </c>
      <c r="CA54" s="89">
        <v>0.26800000000000002</v>
      </c>
    </row>
    <row r="55" spans="1:79">
      <c r="A55" s="21">
        <v>46</v>
      </c>
      <c r="B55" s="82">
        <v>254407.499473</v>
      </c>
      <c r="C55" s="82">
        <v>4505609.5358499996</v>
      </c>
      <c r="D55" s="19">
        <v>0.28449999999999998</v>
      </c>
      <c r="E55" s="19">
        <v>0.26200000000000001</v>
      </c>
      <c r="F55" s="19">
        <v>0.29699999999999999</v>
      </c>
      <c r="G55" s="19">
        <v>0.2555</v>
      </c>
      <c r="H55" s="19">
        <v>0.22849999999999998</v>
      </c>
      <c r="I55" s="19">
        <v>0.23200000000000001</v>
      </c>
      <c r="J55" s="19">
        <v>0.191</v>
      </c>
      <c r="K55" s="19">
        <v>0.13150000000000001</v>
      </c>
      <c r="L55" s="19">
        <v>0.17549999999999999</v>
      </c>
      <c r="M55" s="19">
        <v>0.1215</v>
      </c>
      <c r="N55" s="16">
        <v>0.1885</v>
      </c>
      <c r="O55" s="16">
        <v>0.1195</v>
      </c>
      <c r="P55" s="16">
        <v>0.13500000000000001</v>
      </c>
      <c r="Q55" s="16">
        <v>0.23949999999999999</v>
      </c>
      <c r="R55" s="16">
        <v>0.2485</v>
      </c>
      <c r="S55" s="16">
        <v>0.23899999999999999</v>
      </c>
      <c r="T55" s="36">
        <v>0.29699999999999999</v>
      </c>
      <c r="U55" s="36">
        <v>0.30499999999999999</v>
      </c>
      <c r="V55" s="36">
        <v>0.312</v>
      </c>
      <c r="W55" s="36">
        <v>0.33900000000000002</v>
      </c>
      <c r="X55" s="36">
        <v>0.28999999999999998</v>
      </c>
      <c r="Y55" s="36">
        <v>0.23899999999999999</v>
      </c>
      <c r="Z55" s="36">
        <v>0.28499999999999998</v>
      </c>
      <c r="AA55" s="36">
        <v>0.313</v>
      </c>
      <c r="AB55" s="36">
        <v>0.30399999999999999</v>
      </c>
      <c r="AC55" s="36">
        <v>0.29099999999999998</v>
      </c>
      <c r="AD55" s="36">
        <v>0.28499999999999998</v>
      </c>
      <c r="AE55" s="36">
        <v>0.29599999999999999</v>
      </c>
      <c r="AF55" s="36">
        <v>0.22800000000000001</v>
      </c>
      <c r="AG55" s="36">
        <v>0.19700000000000001</v>
      </c>
      <c r="AH55" s="36">
        <v>9.6000000000000002E-2</v>
      </c>
      <c r="AI55" s="36">
        <v>0.193</v>
      </c>
      <c r="AJ55" s="36">
        <v>0.152</v>
      </c>
      <c r="AK55" s="36" t="s">
        <v>38</v>
      </c>
      <c r="AL55" s="23" t="s">
        <v>38</v>
      </c>
      <c r="AM55" s="36">
        <v>0.34</v>
      </c>
      <c r="AN55" s="36">
        <v>0.25600000000000001</v>
      </c>
      <c r="AO55" s="36">
        <v>0.186</v>
      </c>
      <c r="AP55" s="36">
        <v>0.23100000000000001</v>
      </c>
      <c r="AQ55" s="36">
        <v>0.26</v>
      </c>
      <c r="AR55" s="36">
        <v>0.251</v>
      </c>
      <c r="AS55" s="36">
        <v>0.23799999999999999</v>
      </c>
      <c r="AT55" s="36">
        <v>0.249</v>
      </c>
      <c r="AU55" s="36">
        <v>0.19400000000000001</v>
      </c>
      <c r="AV55" s="36">
        <v>0.16200000000000001</v>
      </c>
      <c r="AW55" s="36">
        <v>0.14699999999999999</v>
      </c>
      <c r="AX55" s="36">
        <v>0.14699999999999999</v>
      </c>
      <c r="AY55" s="36">
        <v>0.247</v>
      </c>
      <c r="AZ55" s="36">
        <v>0.23</v>
      </c>
      <c r="BA55" s="36">
        <v>0.24099999999999999</v>
      </c>
      <c r="BB55" s="37">
        <v>0.188</v>
      </c>
      <c r="BC55" s="36">
        <v>0.1115</v>
      </c>
      <c r="BD55" s="23" t="s">
        <v>38</v>
      </c>
      <c r="BE55" s="23" t="s">
        <v>38</v>
      </c>
      <c r="BF55" s="23" t="s">
        <v>38</v>
      </c>
      <c r="BG55" s="36">
        <v>0.26100000000000001</v>
      </c>
      <c r="BH55" s="38">
        <v>0.2555</v>
      </c>
      <c r="BI55" s="38">
        <v>0.26850000000000002</v>
      </c>
      <c r="BJ55" s="38">
        <v>0.23899999999999999</v>
      </c>
      <c r="BK55" s="38">
        <v>0.26200000000000001</v>
      </c>
      <c r="BL55" s="38">
        <v>0.25800000000000001</v>
      </c>
      <c r="BM55" s="38">
        <v>0.26950000000000002</v>
      </c>
      <c r="BN55" s="40">
        <v>0.28699999999999998</v>
      </c>
      <c r="BO55" s="40">
        <v>0.27100000000000002</v>
      </c>
      <c r="BP55" s="38">
        <v>0.29449999999999998</v>
      </c>
      <c r="BQ55" s="38">
        <v>0.20699999999999999</v>
      </c>
      <c r="BR55" s="41">
        <v>0.247</v>
      </c>
      <c r="BS55" s="47" t="s">
        <v>38</v>
      </c>
      <c r="BT55" s="41">
        <v>0.19450000000000001</v>
      </c>
      <c r="BU55" s="42" t="s">
        <v>38</v>
      </c>
      <c r="BV55" s="41">
        <v>0.17149999999999999</v>
      </c>
      <c r="BW55" s="42">
        <v>0.28900000000000003</v>
      </c>
      <c r="BX55" s="42">
        <v>0.26750000000000002</v>
      </c>
      <c r="BY55" s="85">
        <f>(0.299+0.308)/2</f>
        <v>0.30349999999999999</v>
      </c>
      <c r="BZ55" s="85">
        <f>(0.415+0.39)/2</f>
        <v>0.40249999999999997</v>
      </c>
      <c r="CA55" s="89">
        <v>0.29449999999999998</v>
      </c>
    </row>
    <row r="56" spans="1:79">
      <c r="A56" s="21">
        <v>47</v>
      </c>
      <c r="B56" s="82">
        <v>254415.342535</v>
      </c>
      <c r="C56" s="82">
        <v>4505592.7560700001</v>
      </c>
      <c r="D56" s="19">
        <v>0.26050000000000001</v>
      </c>
      <c r="E56" s="19">
        <v>0.254</v>
      </c>
      <c r="F56" s="19">
        <v>0.27100000000000002</v>
      </c>
      <c r="G56" s="19">
        <v>0.26900000000000002</v>
      </c>
      <c r="H56" s="19">
        <v>0.24049999999999999</v>
      </c>
      <c r="I56" s="19">
        <v>0.21149999999999999</v>
      </c>
      <c r="J56" s="19">
        <v>0.17349999999999999</v>
      </c>
      <c r="K56" s="19">
        <v>0.1295</v>
      </c>
      <c r="L56" s="19">
        <v>0.2505</v>
      </c>
      <c r="M56" s="19">
        <v>0.122</v>
      </c>
      <c r="N56" s="16">
        <v>0.16350000000000001</v>
      </c>
      <c r="O56" s="16">
        <v>0.13350000000000001</v>
      </c>
      <c r="P56" s="16">
        <v>0.1285</v>
      </c>
      <c r="Q56" s="16">
        <v>0.19900000000000001</v>
      </c>
      <c r="R56" s="16">
        <v>0.23799999999999999</v>
      </c>
      <c r="S56" s="16">
        <v>0.21</v>
      </c>
      <c r="T56" s="36">
        <v>0.191</v>
      </c>
      <c r="U56" s="36">
        <v>0.184</v>
      </c>
      <c r="V56" s="36">
        <v>0.19900000000000001</v>
      </c>
      <c r="W56" s="36">
        <v>0.17599999999999999</v>
      </c>
      <c r="X56" s="36">
        <v>0.16600000000000001</v>
      </c>
      <c r="Y56" s="36">
        <v>0.15</v>
      </c>
      <c r="Z56" s="36">
        <v>0.16200000000000001</v>
      </c>
      <c r="AA56" s="36">
        <v>0.17799999999999999</v>
      </c>
      <c r="AB56" s="36">
        <v>0.2</v>
      </c>
      <c r="AC56" s="36">
        <v>0.19500000000000001</v>
      </c>
      <c r="AD56" s="36">
        <v>0.185</v>
      </c>
      <c r="AE56" s="36">
        <v>0.17599999999999999</v>
      </c>
      <c r="AF56" s="36">
        <v>0.13300000000000001</v>
      </c>
      <c r="AG56" s="36">
        <v>0.14399999999999999</v>
      </c>
      <c r="AH56" s="36">
        <v>7.0000000000000007E-2</v>
      </c>
      <c r="AI56" s="36">
        <v>0.12</v>
      </c>
      <c r="AJ56" s="36">
        <v>0.104</v>
      </c>
      <c r="AK56" s="36">
        <v>0.114</v>
      </c>
      <c r="AL56" s="23" t="s">
        <v>38</v>
      </c>
      <c r="AM56" s="36">
        <v>0.20399999999999999</v>
      </c>
      <c r="AN56" s="36">
        <v>0.2</v>
      </c>
      <c r="AO56" s="36">
        <v>0.187</v>
      </c>
      <c r="AP56" s="36">
        <v>0.161</v>
      </c>
      <c r="AQ56" s="36">
        <v>0.215</v>
      </c>
      <c r="AR56" s="36">
        <v>0.219</v>
      </c>
      <c r="AS56" s="36">
        <v>0.20799999999999999</v>
      </c>
      <c r="AT56" s="36">
        <v>0.217</v>
      </c>
      <c r="AU56" s="36">
        <v>0.183</v>
      </c>
      <c r="AV56" s="36">
        <v>0.159</v>
      </c>
      <c r="AW56" s="36">
        <v>0.14699999999999999</v>
      </c>
      <c r="AX56" s="36">
        <v>0.126</v>
      </c>
      <c r="AY56" s="36">
        <v>0.183</v>
      </c>
      <c r="AZ56" s="36">
        <v>0.185</v>
      </c>
      <c r="BA56" s="36">
        <v>0.188</v>
      </c>
      <c r="BB56" s="37">
        <v>0.14549999999999999</v>
      </c>
      <c r="BC56" s="36">
        <v>0.23100000000000001</v>
      </c>
      <c r="BD56" s="23" t="s">
        <v>38</v>
      </c>
      <c r="BE56" s="23" t="s">
        <v>38</v>
      </c>
      <c r="BF56" s="23" t="s">
        <v>38</v>
      </c>
      <c r="BG56" s="36">
        <v>0.23599999999999999</v>
      </c>
      <c r="BH56" s="38">
        <v>0.219</v>
      </c>
      <c r="BI56" s="38">
        <v>0.24399999999999999</v>
      </c>
      <c r="BJ56" s="38">
        <v>0.22600000000000001</v>
      </c>
      <c r="BK56" s="38">
        <v>0.16600000000000001</v>
      </c>
      <c r="BL56" s="38">
        <v>0.2445</v>
      </c>
      <c r="BM56" s="38">
        <v>0.26250000000000001</v>
      </c>
      <c r="BN56" s="40">
        <v>0.25650000000000001</v>
      </c>
      <c r="BO56" s="40">
        <v>0.2515</v>
      </c>
      <c r="BP56" s="38">
        <v>0.25950000000000001</v>
      </c>
      <c r="BQ56" s="38">
        <v>0.20350000000000001</v>
      </c>
      <c r="BR56" s="41">
        <v>0.22750000000000001</v>
      </c>
      <c r="BS56" s="47" t="s">
        <v>38</v>
      </c>
      <c r="BT56" s="41">
        <v>0.1925</v>
      </c>
      <c r="BU56" s="42" t="s">
        <v>38</v>
      </c>
      <c r="BV56" s="41">
        <v>0.161</v>
      </c>
      <c r="BW56" s="42">
        <v>0.218</v>
      </c>
      <c r="BX56" s="42">
        <v>0.2205</v>
      </c>
      <c r="BY56" s="85">
        <f>(0.278+0.29)/2</f>
        <v>0.28400000000000003</v>
      </c>
      <c r="BZ56" s="85">
        <f>(0.361+0.346)/2</f>
        <v>0.35349999999999998</v>
      </c>
      <c r="CA56" s="89">
        <v>0.27050000000000002</v>
      </c>
    </row>
    <row r="57" spans="1:79">
      <c r="A57" s="21">
        <v>48</v>
      </c>
      <c r="B57" s="82">
        <v>254410.90681099999</v>
      </c>
      <c r="C57" s="82">
        <v>4505631.4095900003</v>
      </c>
      <c r="D57" s="19" t="s">
        <v>38</v>
      </c>
      <c r="E57" s="19" t="s">
        <v>38</v>
      </c>
      <c r="F57" s="19" t="s">
        <v>38</v>
      </c>
      <c r="G57" s="19" t="s">
        <v>38</v>
      </c>
      <c r="H57" s="19" t="s">
        <v>38</v>
      </c>
      <c r="I57" s="19" t="s">
        <v>38</v>
      </c>
      <c r="J57" s="19" t="s">
        <v>38</v>
      </c>
      <c r="K57" s="19" t="s">
        <v>38</v>
      </c>
      <c r="L57" s="19" t="s">
        <v>38</v>
      </c>
      <c r="M57" s="19" t="s">
        <v>38</v>
      </c>
      <c r="N57" s="23" t="s">
        <v>38</v>
      </c>
      <c r="O57" s="23" t="s">
        <v>38</v>
      </c>
      <c r="P57" s="23" t="s">
        <v>38</v>
      </c>
      <c r="Q57" s="23" t="s">
        <v>38</v>
      </c>
      <c r="R57" s="23" t="s">
        <v>38</v>
      </c>
      <c r="S57" s="23" t="s">
        <v>38</v>
      </c>
      <c r="T57" s="23" t="s">
        <v>38</v>
      </c>
      <c r="U57" s="23" t="s">
        <v>38</v>
      </c>
      <c r="V57" s="23" t="s">
        <v>38</v>
      </c>
      <c r="W57" s="23" t="s">
        <v>38</v>
      </c>
      <c r="X57" s="23" t="s">
        <v>38</v>
      </c>
      <c r="Y57" s="23" t="s">
        <v>38</v>
      </c>
      <c r="Z57" s="23" t="s">
        <v>38</v>
      </c>
      <c r="AA57" s="23" t="s">
        <v>38</v>
      </c>
      <c r="AB57" s="23" t="s">
        <v>38</v>
      </c>
      <c r="AC57" s="23" t="s">
        <v>38</v>
      </c>
      <c r="AD57" s="23" t="s">
        <v>38</v>
      </c>
      <c r="AE57" s="23" t="s">
        <v>38</v>
      </c>
      <c r="AF57" s="23" t="s">
        <v>38</v>
      </c>
      <c r="AG57" s="23" t="s">
        <v>38</v>
      </c>
      <c r="AH57" s="23" t="s">
        <v>38</v>
      </c>
      <c r="AI57" s="23" t="s">
        <v>38</v>
      </c>
      <c r="AJ57" s="23" t="s">
        <v>38</v>
      </c>
      <c r="AK57" s="23" t="s">
        <v>38</v>
      </c>
      <c r="AL57" s="23" t="s">
        <v>38</v>
      </c>
      <c r="AM57" s="23" t="s">
        <v>38</v>
      </c>
      <c r="AN57" s="23" t="s">
        <v>38</v>
      </c>
      <c r="AO57" s="23" t="s">
        <v>38</v>
      </c>
      <c r="AP57" s="23" t="s">
        <v>38</v>
      </c>
      <c r="AQ57" s="23" t="s">
        <v>38</v>
      </c>
      <c r="AR57" s="23" t="s">
        <v>38</v>
      </c>
      <c r="AS57" s="23" t="s">
        <v>38</v>
      </c>
      <c r="AT57" s="23" t="s">
        <v>38</v>
      </c>
      <c r="AU57" s="23" t="s">
        <v>38</v>
      </c>
      <c r="AV57" s="23" t="s">
        <v>38</v>
      </c>
      <c r="AW57" s="23" t="s">
        <v>38</v>
      </c>
      <c r="AX57" s="23" t="s">
        <v>38</v>
      </c>
      <c r="AY57" s="23" t="s">
        <v>38</v>
      </c>
      <c r="AZ57" s="23" t="s">
        <v>38</v>
      </c>
      <c r="BA57" s="23" t="s">
        <v>38</v>
      </c>
      <c r="BB57" s="23" t="s">
        <v>38</v>
      </c>
      <c r="BC57" s="23" t="s">
        <v>38</v>
      </c>
      <c r="BD57" s="23" t="s">
        <v>38</v>
      </c>
      <c r="BE57" s="23" t="s">
        <v>38</v>
      </c>
      <c r="BF57" s="23" t="s">
        <v>38</v>
      </c>
      <c r="BG57" s="23" t="s">
        <v>38</v>
      </c>
      <c r="BH57" s="23" t="s">
        <v>38</v>
      </c>
      <c r="BI57" s="23" t="s">
        <v>38</v>
      </c>
      <c r="BJ57" s="23" t="s">
        <v>38</v>
      </c>
      <c r="BK57" s="23" t="s">
        <v>38</v>
      </c>
      <c r="BL57" s="23" t="s">
        <v>38</v>
      </c>
      <c r="BM57" s="23" t="s">
        <v>38</v>
      </c>
      <c r="BN57" s="23" t="s">
        <v>38</v>
      </c>
      <c r="BO57" s="23" t="s">
        <v>38</v>
      </c>
      <c r="BP57" s="23" t="s">
        <v>38</v>
      </c>
      <c r="BQ57" s="23" t="s">
        <v>38</v>
      </c>
      <c r="BR57" s="23" t="s">
        <v>38</v>
      </c>
      <c r="BS57" s="23" t="s">
        <v>38</v>
      </c>
      <c r="BT57" s="23" t="s">
        <v>38</v>
      </c>
      <c r="BU57" s="23" t="s">
        <v>38</v>
      </c>
      <c r="BV57" s="23" t="s">
        <v>38</v>
      </c>
      <c r="BW57" s="23" t="s">
        <v>38</v>
      </c>
      <c r="BX57" s="23" t="s">
        <v>38</v>
      </c>
      <c r="BY57" s="69" t="s">
        <v>38</v>
      </c>
      <c r="BZ57" s="69" t="s">
        <v>38</v>
      </c>
      <c r="CA57" s="89" t="s">
        <v>38</v>
      </c>
    </row>
    <row r="58" spans="1:79">
      <c r="A58" s="21">
        <v>49</v>
      </c>
      <c r="B58" s="83">
        <v>254409.04055599999</v>
      </c>
      <c r="C58" s="83">
        <v>4505680.3762499997</v>
      </c>
      <c r="D58" s="19" t="s">
        <v>38</v>
      </c>
      <c r="E58" s="19" t="s">
        <v>38</v>
      </c>
      <c r="F58" s="19" t="s">
        <v>38</v>
      </c>
      <c r="G58" s="19" t="s">
        <v>38</v>
      </c>
      <c r="H58" s="19" t="s">
        <v>38</v>
      </c>
      <c r="I58" s="19" t="s">
        <v>38</v>
      </c>
      <c r="J58" s="19" t="s">
        <v>38</v>
      </c>
      <c r="K58" s="19" t="s">
        <v>38</v>
      </c>
      <c r="L58" s="19" t="s">
        <v>38</v>
      </c>
      <c r="M58" s="19" t="s">
        <v>38</v>
      </c>
      <c r="N58" s="23" t="s">
        <v>38</v>
      </c>
      <c r="O58" s="23" t="s">
        <v>38</v>
      </c>
      <c r="P58" s="23" t="s">
        <v>38</v>
      </c>
      <c r="Q58" s="23" t="s">
        <v>38</v>
      </c>
      <c r="R58" s="23" t="s">
        <v>38</v>
      </c>
      <c r="S58" s="23" t="s">
        <v>38</v>
      </c>
      <c r="T58" s="23" t="s">
        <v>38</v>
      </c>
      <c r="U58" s="23" t="s">
        <v>38</v>
      </c>
      <c r="V58" s="23" t="s">
        <v>38</v>
      </c>
      <c r="W58" s="23" t="s">
        <v>38</v>
      </c>
      <c r="X58" s="23" t="s">
        <v>38</v>
      </c>
      <c r="Y58" s="23" t="s">
        <v>38</v>
      </c>
      <c r="Z58" s="23" t="s">
        <v>38</v>
      </c>
      <c r="AA58" s="23" t="s">
        <v>38</v>
      </c>
      <c r="AB58" s="23" t="s">
        <v>38</v>
      </c>
      <c r="AC58" s="23" t="s">
        <v>38</v>
      </c>
      <c r="AD58" s="23" t="s">
        <v>38</v>
      </c>
      <c r="AE58" s="23" t="s">
        <v>38</v>
      </c>
      <c r="AF58" s="23" t="s">
        <v>38</v>
      </c>
      <c r="AG58" s="23" t="s">
        <v>38</v>
      </c>
      <c r="AH58" s="23" t="s">
        <v>38</v>
      </c>
      <c r="AI58" s="23" t="s">
        <v>38</v>
      </c>
      <c r="AJ58" s="23" t="s">
        <v>38</v>
      </c>
      <c r="AK58" s="23" t="s">
        <v>38</v>
      </c>
      <c r="AL58" s="23" t="s">
        <v>38</v>
      </c>
      <c r="AM58" s="23" t="s">
        <v>38</v>
      </c>
      <c r="AN58" s="23" t="s">
        <v>38</v>
      </c>
      <c r="AO58" s="23" t="s">
        <v>38</v>
      </c>
      <c r="AP58" s="23" t="s">
        <v>38</v>
      </c>
      <c r="AQ58" s="23" t="s">
        <v>38</v>
      </c>
      <c r="AR58" s="23" t="s">
        <v>38</v>
      </c>
      <c r="AS58" s="23" t="s">
        <v>38</v>
      </c>
      <c r="AT58" s="23" t="s">
        <v>38</v>
      </c>
      <c r="AU58" s="23" t="s">
        <v>38</v>
      </c>
      <c r="AV58" s="23" t="s">
        <v>38</v>
      </c>
      <c r="AW58" s="23" t="s">
        <v>38</v>
      </c>
      <c r="AX58" s="23" t="s">
        <v>38</v>
      </c>
      <c r="AY58" s="23" t="s">
        <v>38</v>
      </c>
      <c r="AZ58" s="23" t="s">
        <v>38</v>
      </c>
      <c r="BA58" s="23" t="s">
        <v>38</v>
      </c>
      <c r="BB58" s="23" t="s">
        <v>38</v>
      </c>
      <c r="BC58" s="23" t="s">
        <v>38</v>
      </c>
      <c r="BD58" s="23" t="s">
        <v>38</v>
      </c>
      <c r="BE58" s="23" t="s">
        <v>38</v>
      </c>
      <c r="BF58" s="23" t="s">
        <v>38</v>
      </c>
      <c r="BG58" s="23" t="s">
        <v>38</v>
      </c>
      <c r="BH58" s="23" t="s">
        <v>38</v>
      </c>
      <c r="BI58" s="23" t="s">
        <v>38</v>
      </c>
      <c r="BJ58" s="23" t="s">
        <v>38</v>
      </c>
      <c r="BK58" s="23" t="s">
        <v>38</v>
      </c>
      <c r="BL58" s="23" t="s">
        <v>38</v>
      </c>
      <c r="BM58" s="23" t="s">
        <v>38</v>
      </c>
      <c r="BN58" s="23" t="s">
        <v>38</v>
      </c>
      <c r="BO58" s="23" t="s">
        <v>38</v>
      </c>
      <c r="BP58" s="23" t="s">
        <v>38</v>
      </c>
      <c r="BQ58" s="23" t="s">
        <v>38</v>
      </c>
      <c r="BR58" s="23" t="s">
        <v>38</v>
      </c>
      <c r="BS58" s="23" t="s">
        <v>38</v>
      </c>
      <c r="BT58" s="23" t="s">
        <v>38</v>
      </c>
      <c r="BU58" s="23" t="s">
        <v>38</v>
      </c>
      <c r="BV58" s="23" t="s">
        <v>38</v>
      </c>
      <c r="BW58" s="23" t="s">
        <v>38</v>
      </c>
      <c r="BX58" s="23" t="s">
        <v>38</v>
      </c>
      <c r="BY58" s="69" t="s">
        <v>38</v>
      </c>
      <c r="BZ58" s="69" t="s">
        <v>38</v>
      </c>
      <c r="CA58" s="89" t="s">
        <v>38</v>
      </c>
    </row>
    <row r="59" spans="1:79">
      <c r="A59" s="21">
        <v>50</v>
      </c>
      <c r="B59" s="82">
        <v>254459.96109699999</v>
      </c>
      <c r="C59" s="82">
        <v>4505611.5409000004</v>
      </c>
      <c r="D59" s="19" t="s">
        <v>38</v>
      </c>
      <c r="E59" s="19" t="s">
        <v>38</v>
      </c>
      <c r="F59" s="19" t="s">
        <v>38</v>
      </c>
      <c r="G59" s="19" t="s">
        <v>38</v>
      </c>
      <c r="H59" s="19" t="s">
        <v>38</v>
      </c>
      <c r="I59" s="19" t="s">
        <v>38</v>
      </c>
      <c r="J59" s="19" t="s">
        <v>38</v>
      </c>
      <c r="K59" s="19" t="s">
        <v>38</v>
      </c>
      <c r="L59" s="19" t="s">
        <v>38</v>
      </c>
      <c r="M59" s="19" t="s">
        <v>38</v>
      </c>
      <c r="N59" s="23" t="s">
        <v>38</v>
      </c>
      <c r="O59" s="23" t="s">
        <v>38</v>
      </c>
      <c r="P59" s="23" t="s">
        <v>38</v>
      </c>
      <c r="Q59" s="23" t="s">
        <v>38</v>
      </c>
      <c r="R59" s="23" t="s">
        <v>38</v>
      </c>
      <c r="S59" s="23" t="s">
        <v>38</v>
      </c>
      <c r="T59" s="23" t="s">
        <v>38</v>
      </c>
      <c r="U59" s="23" t="s">
        <v>38</v>
      </c>
      <c r="V59" s="23" t="s">
        <v>38</v>
      </c>
      <c r="W59" s="23" t="s">
        <v>38</v>
      </c>
      <c r="X59" s="23" t="s">
        <v>38</v>
      </c>
      <c r="Y59" s="23" t="s">
        <v>38</v>
      </c>
      <c r="Z59" s="23" t="s">
        <v>38</v>
      </c>
      <c r="AA59" s="23" t="s">
        <v>38</v>
      </c>
      <c r="AB59" s="23" t="s">
        <v>38</v>
      </c>
      <c r="AC59" s="23" t="s">
        <v>38</v>
      </c>
      <c r="AD59" s="23" t="s">
        <v>38</v>
      </c>
      <c r="AE59" s="23" t="s">
        <v>38</v>
      </c>
      <c r="AF59" s="23" t="s">
        <v>38</v>
      </c>
      <c r="AG59" s="23" t="s">
        <v>38</v>
      </c>
      <c r="AH59" s="23" t="s">
        <v>38</v>
      </c>
      <c r="AI59" s="23" t="s">
        <v>38</v>
      </c>
      <c r="AJ59" s="23" t="s">
        <v>38</v>
      </c>
      <c r="AK59" s="23" t="s">
        <v>38</v>
      </c>
      <c r="AL59" s="23" t="s">
        <v>38</v>
      </c>
      <c r="AM59" s="23" t="s">
        <v>38</v>
      </c>
      <c r="AN59" s="23" t="s">
        <v>38</v>
      </c>
      <c r="AO59" s="36">
        <v>0.19900000000000001</v>
      </c>
      <c r="AP59" s="23" t="s">
        <v>38</v>
      </c>
      <c r="AQ59" s="23" t="s">
        <v>38</v>
      </c>
      <c r="AR59" s="23" t="s">
        <v>38</v>
      </c>
      <c r="AS59" s="36">
        <v>0.223</v>
      </c>
      <c r="AT59" s="36" t="s">
        <v>38</v>
      </c>
      <c r="AU59" s="36">
        <v>0.214</v>
      </c>
      <c r="AV59" s="36" t="s">
        <v>38</v>
      </c>
      <c r="AW59" s="36" t="s">
        <v>38</v>
      </c>
      <c r="AX59" s="36">
        <v>0.153</v>
      </c>
      <c r="AY59" s="36" t="s">
        <v>38</v>
      </c>
      <c r="AZ59" s="36" t="s">
        <v>38</v>
      </c>
      <c r="BA59" s="36">
        <v>0.21199999999999999</v>
      </c>
      <c r="BB59" s="37" t="s">
        <v>38</v>
      </c>
      <c r="BC59" s="36" t="s">
        <v>38</v>
      </c>
      <c r="BD59" s="37" t="s">
        <v>38</v>
      </c>
      <c r="BE59" s="37" t="s">
        <v>38</v>
      </c>
      <c r="BF59" s="37" t="s">
        <v>38</v>
      </c>
      <c r="BG59" s="36">
        <v>0.26250000000000001</v>
      </c>
      <c r="BH59" s="39" t="s">
        <v>38</v>
      </c>
      <c r="BI59" s="39" t="s">
        <v>38</v>
      </c>
      <c r="BJ59" s="39" t="s">
        <v>38</v>
      </c>
      <c r="BK59" s="39" t="s">
        <v>38</v>
      </c>
      <c r="BL59" s="39" t="s">
        <v>38</v>
      </c>
      <c r="BM59" s="39" t="s">
        <v>38</v>
      </c>
      <c r="BN59" s="39" t="s">
        <v>38</v>
      </c>
      <c r="BO59" s="39" t="s">
        <v>38</v>
      </c>
      <c r="BP59" s="39" t="s">
        <v>38</v>
      </c>
      <c r="BQ59" s="39" t="s">
        <v>38</v>
      </c>
      <c r="BR59" s="39" t="s">
        <v>38</v>
      </c>
      <c r="BS59" s="39" t="s">
        <v>38</v>
      </c>
      <c r="BT59" s="39" t="s">
        <v>38</v>
      </c>
      <c r="BU59" s="39" t="s">
        <v>38</v>
      </c>
      <c r="BV59" s="39" t="s">
        <v>38</v>
      </c>
      <c r="BW59" s="39" t="s">
        <v>38</v>
      </c>
      <c r="BX59" s="39" t="s">
        <v>38</v>
      </c>
      <c r="BY59" s="69" t="s">
        <v>38</v>
      </c>
      <c r="BZ59" s="69" t="s">
        <v>38</v>
      </c>
      <c r="CA59" s="89" t="s">
        <v>38</v>
      </c>
    </row>
    <row r="60" spans="1:79">
      <c r="A60" s="21">
        <v>51</v>
      </c>
      <c r="B60" s="82">
        <v>254457.91333000001</v>
      </c>
      <c r="C60" s="82">
        <v>4505621.1563900001</v>
      </c>
      <c r="D60" s="19">
        <v>0.27050000000000002</v>
      </c>
      <c r="E60" s="19">
        <v>0.24399999999999999</v>
      </c>
      <c r="F60" s="19" t="s">
        <v>38</v>
      </c>
      <c r="G60" s="19">
        <v>0.254</v>
      </c>
      <c r="H60" s="19">
        <v>0.252</v>
      </c>
      <c r="I60" s="19">
        <v>0.20300000000000001</v>
      </c>
      <c r="J60" s="19">
        <v>0.16250000000000001</v>
      </c>
      <c r="K60" s="19">
        <v>0.109</v>
      </c>
      <c r="L60" s="19" t="s">
        <v>38</v>
      </c>
      <c r="M60" s="19" t="s">
        <v>38</v>
      </c>
      <c r="N60" s="23" t="s">
        <v>38</v>
      </c>
      <c r="O60" s="23" t="s">
        <v>38</v>
      </c>
      <c r="P60" s="23" t="s">
        <v>38</v>
      </c>
      <c r="Q60" s="23" t="s">
        <v>38</v>
      </c>
      <c r="R60" s="23" t="s">
        <v>38</v>
      </c>
      <c r="S60" s="23" t="s">
        <v>38</v>
      </c>
      <c r="T60" s="36">
        <v>0.26100000000000001</v>
      </c>
      <c r="U60" s="36">
        <v>0.27700000000000002</v>
      </c>
      <c r="V60" s="23" t="s">
        <v>38</v>
      </c>
      <c r="W60" s="36">
        <v>0.30199999999999999</v>
      </c>
      <c r="X60" s="36">
        <v>0.24</v>
      </c>
      <c r="Y60" s="36">
        <v>0.28899999999999998</v>
      </c>
      <c r="Z60" s="36">
        <v>0.24199999999999999</v>
      </c>
      <c r="AA60" s="36">
        <v>0.25</v>
      </c>
      <c r="AB60" s="36">
        <v>0.28999999999999998</v>
      </c>
      <c r="AC60" s="36">
        <v>0.26</v>
      </c>
      <c r="AD60" s="36">
        <v>0.25800000000000001</v>
      </c>
      <c r="AE60" s="36">
        <v>0.26300000000000001</v>
      </c>
      <c r="AF60" s="36">
        <v>0.21199999999999999</v>
      </c>
      <c r="AG60" s="36">
        <v>0.18</v>
      </c>
      <c r="AH60" s="36">
        <v>0.129</v>
      </c>
      <c r="AI60" s="36">
        <v>0.14899999999999999</v>
      </c>
      <c r="AJ60" s="36">
        <v>0.13600000000000001</v>
      </c>
      <c r="AK60" s="36">
        <v>0.11700000000000001</v>
      </c>
      <c r="AL60" s="36">
        <v>0.26800000000000002</v>
      </c>
      <c r="AM60" s="36">
        <v>0.26900000000000002</v>
      </c>
      <c r="AN60" s="36">
        <v>0.19400000000000001</v>
      </c>
      <c r="AO60" s="36">
        <v>0.17799999999999999</v>
      </c>
      <c r="AP60" s="36">
        <v>0.23100000000000001</v>
      </c>
      <c r="AQ60" s="36">
        <v>0.23499999999999999</v>
      </c>
      <c r="AR60" s="36">
        <v>0.245</v>
      </c>
      <c r="AS60" s="36">
        <v>0.217</v>
      </c>
      <c r="AT60" s="36">
        <v>0.23599999999999999</v>
      </c>
      <c r="AU60" s="36">
        <v>0.16800000000000001</v>
      </c>
      <c r="AV60" s="36">
        <v>0.14299999999999999</v>
      </c>
      <c r="AW60" s="36">
        <v>0.11</v>
      </c>
      <c r="AX60" s="36">
        <v>0.112</v>
      </c>
      <c r="AY60" s="36">
        <v>0.216</v>
      </c>
      <c r="AZ60" s="36">
        <v>0.19</v>
      </c>
      <c r="BA60" s="36">
        <v>0.16400000000000001</v>
      </c>
      <c r="BB60" s="37">
        <v>0.16449999999999998</v>
      </c>
      <c r="BC60" s="36">
        <v>0.21</v>
      </c>
      <c r="BD60" s="37">
        <v>0.26300000000000001</v>
      </c>
      <c r="BE60" s="37">
        <v>0.2495</v>
      </c>
      <c r="BF60" s="37">
        <v>0.10249999999999999</v>
      </c>
      <c r="BG60" s="36">
        <v>0.22650000000000001</v>
      </c>
      <c r="BH60" s="38">
        <v>0.22650000000000001</v>
      </c>
      <c r="BI60" s="38">
        <v>0.247</v>
      </c>
      <c r="BJ60" s="38">
        <v>0.21299999999999999</v>
      </c>
      <c r="BK60" s="38">
        <v>0.24299999999999999</v>
      </c>
      <c r="BL60" s="38">
        <v>0.24149999999999999</v>
      </c>
      <c r="BM60" s="38">
        <v>0.24</v>
      </c>
      <c r="BN60" s="40">
        <v>0.245</v>
      </c>
      <c r="BO60" s="40">
        <v>0.25600000000000001</v>
      </c>
      <c r="BP60" s="38">
        <v>0.26100000000000001</v>
      </c>
      <c r="BQ60" s="38">
        <v>0.1585</v>
      </c>
      <c r="BR60" s="41">
        <v>0.20350000000000001</v>
      </c>
      <c r="BS60" s="41">
        <v>0.16250000000000001</v>
      </c>
      <c r="BT60" s="41">
        <v>0.1525</v>
      </c>
      <c r="BU60" s="42">
        <v>0.19650000000000001</v>
      </c>
      <c r="BV60" s="41">
        <v>0.13</v>
      </c>
      <c r="BW60" s="42" t="s">
        <v>38</v>
      </c>
      <c r="BX60" s="42" t="s">
        <v>38</v>
      </c>
      <c r="BY60" s="85">
        <f>(0.241+0.257)/2</f>
        <v>0.249</v>
      </c>
      <c r="BZ60" s="85">
        <f>(0.37+0.361)/2</f>
        <v>0.36549999999999999</v>
      </c>
      <c r="CA60" s="89">
        <v>0.27050000000000002</v>
      </c>
    </row>
    <row r="61" spans="1:79">
      <c r="A61" s="21" t="s">
        <v>14</v>
      </c>
      <c r="B61" s="82">
        <v>254459.08399399999</v>
      </c>
      <c r="C61" s="82">
        <v>4505622.0498400005</v>
      </c>
      <c r="D61" s="19">
        <v>0.2475</v>
      </c>
      <c r="E61" s="19">
        <v>0.23649999999999999</v>
      </c>
      <c r="F61" s="19">
        <v>0.26150000000000001</v>
      </c>
      <c r="G61" s="19">
        <v>0.25950000000000001</v>
      </c>
      <c r="H61" s="19">
        <v>0.26</v>
      </c>
      <c r="I61" s="19">
        <v>0.2195</v>
      </c>
      <c r="J61" s="19">
        <v>0.184</v>
      </c>
      <c r="K61" s="19">
        <v>0.1205</v>
      </c>
      <c r="L61" s="19">
        <v>0.1535</v>
      </c>
      <c r="M61" s="19">
        <v>0.10700000000000001</v>
      </c>
      <c r="N61" s="16">
        <v>0.14349999999999999</v>
      </c>
      <c r="O61" s="16">
        <v>0.1125</v>
      </c>
      <c r="P61" s="16">
        <v>0.14100000000000001</v>
      </c>
      <c r="Q61" s="16">
        <v>0.14749999999999999</v>
      </c>
      <c r="R61" s="16">
        <v>0.182</v>
      </c>
      <c r="S61" s="16">
        <v>0.13850000000000001</v>
      </c>
      <c r="T61" s="36">
        <v>0.28999999999999998</v>
      </c>
      <c r="U61" s="36">
        <v>0.30299999999999999</v>
      </c>
      <c r="V61" s="23" t="s">
        <v>38</v>
      </c>
      <c r="W61" s="36">
        <v>0.34100000000000003</v>
      </c>
      <c r="X61" s="36">
        <v>0.27700000000000002</v>
      </c>
      <c r="Y61" s="23" t="s">
        <v>38</v>
      </c>
      <c r="Z61" s="36">
        <v>0.29699999999999999</v>
      </c>
      <c r="AA61" s="36">
        <v>0.27900000000000003</v>
      </c>
      <c r="AB61" s="36" t="s">
        <v>38</v>
      </c>
      <c r="AC61" s="36">
        <v>0.27900000000000003</v>
      </c>
      <c r="AD61" s="36">
        <v>0.27700000000000002</v>
      </c>
      <c r="AE61" s="36" t="s">
        <v>38</v>
      </c>
      <c r="AF61" s="36">
        <v>0.25600000000000001</v>
      </c>
      <c r="AG61" s="36">
        <v>0.20399999999999999</v>
      </c>
      <c r="AH61" s="36">
        <v>0.17</v>
      </c>
      <c r="AI61" s="36" t="s">
        <v>38</v>
      </c>
      <c r="AJ61" s="36" t="s">
        <v>38</v>
      </c>
      <c r="AK61" s="36">
        <v>0.156</v>
      </c>
      <c r="AL61" s="36">
        <v>0.27700000000000002</v>
      </c>
      <c r="AM61" s="36">
        <v>0.29699999999999999</v>
      </c>
      <c r="AN61" s="36">
        <v>0.245</v>
      </c>
      <c r="AO61" s="36" t="s">
        <v>38</v>
      </c>
      <c r="AP61" s="36" t="s">
        <v>38</v>
      </c>
      <c r="AQ61" s="36">
        <v>0.25700000000000001</v>
      </c>
      <c r="AR61" s="36" t="s">
        <v>38</v>
      </c>
      <c r="AS61" s="36">
        <v>0.217</v>
      </c>
      <c r="AT61" s="36" t="s">
        <v>38</v>
      </c>
      <c r="AU61" s="36">
        <v>0.185</v>
      </c>
      <c r="AV61" s="36" t="s">
        <v>38</v>
      </c>
      <c r="AW61" s="36" t="s">
        <v>38</v>
      </c>
      <c r="AX61" s="36" t="s">
        <v>38</v>
      </c>
      <c r="AY61" s="36">
        <v>0.217</v>
      </c>
      <c r="AZ61" s="36">
        <v>0.188</v>
      </c>
      <c r="BA61" s="36">
        <v>0.248</v>
      </c>
      <c r="BB61" s="37">
        <v>0.13500000000000001</v>
      </c>
      <c r="BC61" s="36">
        <v>0.19850000000000001</v>
      </c>
      <c r="BD61" s="37">
        <v>0.20100000000000001</v>
      </c>
      <c r="BE61" s="37">
        <v>0.22750000000000001</v>
      </c>
      <c r="BF61" s="37">
        <v>0.13350000000000001</v>
      </c>
      <c r="BG61" s="36">
        <v>0.23549999999999999</v>
      </c>
      <c r="BH61" s="38" t="s">
        <v>38</v>
      </c>
      <c r="BI61" s="38" t="s">
        <v>38</v>
      </c>
      <c r="BJ61" s="38" t="s">
        <v>38</v>
      </c>
      <c r="BK61" s="38">
        <v>0.23549999999999999</v>
      </c>
      <c r="BL61" s="38" t="s">
        <v>38</v>
      </c>
      <c r="BM61" s="38" t="s">
        <v>38</v>
      </c>
      <c r="BN61" s="38" t="s">
        <v>38</v>
      </c>
      <c r="BO61" s="38" t="s">
        <v>38</v>
      </c>
      <c r="BP61" s="38" t="s">
        <v>38</v>
      </c>
      <c r="BQ61" s="38">
        <v>0.182</v>
      </c>
      <c r="BR61" s="41">
        <v>0.19850000000000001</v>
      </c>
      <c r="BS61" s="41">
        <v>0.16849999999999998</v>
      </c>
      <c r="BT61" s="41">
        <v>0.17799999999999999</v>
      </c>
      <c r="BU61" s="42">
        <v>0.17949999999999999</v>
      </c>
      <c r="BV61" s="41" t="s">
        <v>38</v>
      </c>
      <c r="BW61" s="42">
        <v>0.1885</v>
      </c>
      <c r="BX61" s="42" t="s">
        <v>38</v>
      </c>
      <c r="BY61" s="85">
        <f>(0.25+0.25)/2</f>
        <v>0.25</v>
      </c>
      <c r="BZ61" s="85">
        <f>(0.337+0.319)/2</f>
        <v>0.32800000000000001</v>
      </c>
      <c r="CA61" s="89">
        <v>0.26050000000000001</v>
      </c>
    </row>
    <row r="62" spans="1:79">
      <c r="A62" s="21" t="s">
        <v>15</v>
      </c>
      <c r="B62" s="82">
        <v>254458.677084</v>
      </c>
      <c r="C62" s="82">
        <v>4505620.2194800004</v>
      </c>
      <c r="D62" s="19">
        <v>0.247</v>
      </c>
      <c r="E62" s="19">
        <v>0.2525</v>
      </c>
      <c r="F62" s="19">
        <v>0.2535</v>
      </c>
      <c r="G62" s="19">
        <v>0.27750000000000002</v>
      </c>
      <c r="H62" s="19">
        <v>0.27300000000000002</v>
      </c>
      <c r="I62" s="19">
        <v>0.1855</v>
      </c>
      <c r="J62" s="19">
        <v>0.14650000000000002</v>
      </c>
      <c r="K62" s="19">
        <v>0.1075</v>
      </c>
      <c r="L62" s="19">
        <v>0.18049999999999999</v>
      </c>
      <c r="M62" s="19">
        <v>8.7499999999999994E-2</v>
      </c>
      <c r="N62" s="16">
        <v>0.16500000000000001</v>
      </c>
      <c r="O62" s="16">
        <v>8.299999999999999E-2</v>
      </c>
      <c r="P62" s="23" t="s">
        <v>38</v>
      </c>
      <c r="Q62" s="16">
        <v>0.184</v>
      </c>
      <c r="R62" s="16" t="s">
        <v>38</v>
      </c>
      <c r="S62" s="16" t="s">
        <v>38</v>
      </c>
      <c r="T62" s="36">
        <v>0.30299999999999999</v>
      </c>
      <c r="U62" s="36">
        <v>0.31</v>
      </c>
      <c r="V62" s="23" t="s">
        <v>38</v>
      </c>
      <c r="W62" s="36">
        <v>0.34699999999999998</v>
      </c>
      <c r="X62" s="36">
        <v>0.27200000000000002</v>
      </c>
      <c r="Y62" s="23" t="s">
        <v>38</v>
      </c>
      <c r="Z62" s="36">
        <v>0.28699999999999998</v>
      </c>
      <c r="AA62" s="36">
        <v>0.30199999999999999</v>
      </c>
      <c r="AB62" s="36" t="s">
        <v>38</v>
      </c>
      <c r="AC62" s="36">
        <v>0.27200000000000002</v>
      </c>
      <c r="AD62" s="36">
        <v>0.27900000000000003</v>
      </c>
      <c r="AE62" s="36" t="s">
        <v>38</v>
      </c>
      <c r="AF62" s="36">
        <v>0.17</v>
      </c>
      <c r="AG62" s="36">
        <v>0.17399999999999999</v>
      </c>
      <c r="AH62" s="36">
        <v>0.11799999999999999</v>
      </c>
      <c r="AI62" s="36" t="s">
        <v>38</v>
      </c>
      <c r="AJ62" s="36" t="s">
        <v>38</v>
      </c>
      <c r="AK62" s="36">
        <v>0.112</v>
      </c>
      <c r="AL62" s="36">
        <v>0.25800000000000001</v>
      </c>
      <c r="AM62" s="36">
        <v>0.35599999999999998</v>
      </c>
      <c r="AN62" s="36">
        <v>0.23200000000000001</v>
      </c>
      <c r="AO62" s="36" t="s">
        <v>38</v>
      </c>
      <c r="AP62" s="36" t="s">
        <v>38</v>
      </c>
      <c r="AQ62" s="36">
        <v>0.23100000000000001</v>
      </c>
      <c r="AR62" s="36" t="s">
        <v>38</v>
      </c>
      <c r="AS62" s="36">
        <v>0.17899999999999999</v>
      </c>
      <c r="AT62" s="36" t="s">
        <v>38</v>
      </c>
      <c r="AU62" s="36">
        <v>0.14599999999999999</v>
      </c>
      <c r="AV62" s="36" t="s">
        <v>38</v>
      </c>
      <c r="AW62" s="36" t="s">
        <v>38</v>
      </c>
      <c r="AX62" s="36" t="s">
        <v>38</v>
      </c>
      <c r="AY62" s="36">
        <v>0.189</v>
      </c>
      <c r="AZ62" s="36">
        <v>0.161</v>
      </c>
      <c r="BA62" s="36">
        <v>0.23499999999999999</v>
      </c>
      <c r="BB62" s="37">
        <v>0.16</v>
      </c>
      <c r="BC62" s="36">
        <v>0.20850000000000002</v>
      </c>
      <c r="BD62" s="37">
        <v>0.249</v>
      </c>
      <c r="BE62" s="37">
        <v>0.2445</v>
      </c>
      <c r="BF62" s="37">
        <v>0.11349999999999999</v>
      </c>
      <c r="BG62" s="36">
        <v>0.22850000000000001</v>
      </c>
      <c r="BH62" s="38" t="s">
        <v>38</v>
      </c>
      <c r="BI62" s="38" t="s">
        <v>38</v>
      </c>
      <c r="BJ62" s="38" t="s">
        <v>38</v>
      </c>
      <c r="BK62" s="38">
        <v>0.2545</v>
      </c>
      <c r="BL62" s="38" t="s">
        <v>38</v>
      </c>
      <c r="BM62" s="38" t="s">
        <v>38</v>
      </c>
      <c r="BN62" s="38" t="s">
        <v>38</v>
      </c>
      <c r="BO62" s="38" t="s">
        <v>38</v>
      </c>
      <c r="BP62" s="38" t="s">
        <v>38</v>
      </c>
      <c r="BQ62" s="38">
        <v>0.14499999999999999</v>
      </c>
      <c r="BR62" s="41">
        <v>0.159</v>
      </c>
      <c r="BS62" s="41">
        <v>0.14199999999999999</v>
      </c>
      <c r="BT62" s="41">
        <v>0.123</v>
      </c>
      <c r="BU62" s="42">
        <v>0.17699999999999999</v>
      </c>
      <c r="BV62" s="41" t="s">
        <v>38</v>
      </c>
      <c r="BW62" s="41" t="s">
        <v>38</v>
      </c>
      <c r="BX62" s="41" t="s">
        <v>38</v>
      </c>
      <c r="BY62" s="85">
        <f>(0.283+0.285)/2</f>
        <v>0.28399999999999997</v>
      </c>
      <c r="BZ62" s="85">
        <f>(0.367+0.401)/2</f>
        <v>0.38400000000000001</v>
      </c>
      <c r="CA62" s="89">
        <v>0.27400000000000002</v>
      </c>
    </row>
    <row r="63" spans="1:79">
      <c r="A63" s="21" t="s">
        <v>16</v>
      </c>
      <c r="B63" s="82">
        <v>254456.72850500001</v>
      </c>
      <c r="C63" s="82">
        <v>4505620.3603600003</v>
      </c>
      <c r="D63" s="19">
        <v>0.28449999999999998</v>
      </c>
      <c r="E63" s="19">
        <v>0.26250000000000001</v>
      </c>
      <c r="F63" s="19">
        <v>0.27400000000000002</v>
      </c>
      <c r="G63" s="19">
        <v>0.28200000000000003</v>
      </c>
      <c r="H63" s="19">
        <v>0.248</v>
      </c>
      <c r="I63" s="19">
        <v>0.17899999999999999</v>
      </c>
      <c r="J63" s="19">
        <v>0.13350000000000001</v>
      </c>
      <c r="K63" s="19">
        <v>0.112</v>
      </c>
      <c r="L63" s="19">
        <v>0.1595</v>
      </c>
      <c r="M63" s="19">
        <v>9.5500000000000002E-2</v>
      </c>
      <c r="N63" s="16">
        <v>0.14100000000000001</v>
      </c>
      <c r="O63" s="16">
        <v>9.7500000000000003E-2</v>
      </c>
      <c r="P63" s="23" t="s">
        <v>38</v>
      </c>
      <c r="Q63" s="16">
        <v>0.17049999999999998</v>
      </c>
      <c r="R63" s="16" t="s">
        <v>38</v>
      </c>
      <c r="S63" s="16" t="s">
        <v>38</v>
      </c>
      <c r="T63" s="36">
        <v>0.26800000000000002</v>
      </c>
      <c r="U63" s="36">
        <v>0.27600000000000002</v>
      </c>
      <c r="V63" s="23" t="s">
        <v>38</v>
      </c>
      <c r="W63" s="36">
        <v>0.29299999999999998</v>
      </c>
      <c r="X63" s="36">
        <v>0.215</v>
      </c>
      <c r="Y63" s="23" t="s">
        <v>38</v>
      </c>
      <c r="Z63" s="36">
        <v>0.25600000000000001</v>
      </c>
      <c r="AA63" s="36">
        <v>0.25800000000000001</v>
      </c>
      <c r="AB63" s="36" t="s">
        <v>38</v>
      </c>
      <c r="AC63" s="36">
        <v>0.254</v>
      </c>
      <c r="AD63" s="36">
        <v>0.253</v>
      </c>
      <c r="AE63" s="36" t="s">
        <v>38</v>
      </c>
      <c r="AF63" s="36">
        <v>0.157</v>
      </c>
      <c r="AG63" s="36">
        <v>0.16300000000000001</v>
      </c>
      <c r="AH63" s="36">
        <v>0.12</v>
      </c>
      <c r="AI63" s="36" t="s">
        <v>38</v>
      </c>
      <c r="AJ63" s="36" t="s">
        <v>38</v>
      </c>
      <c r="AK63" s="36">
        <v>0.13900000000000001</v>
      </c>
      <c r="AL63" s="36">
        <v>0.23599999999999999</v>
      </c>
      <c r="AM63" s="36">
        <v>0.33900000000000002</v>
      </c>
      <c r="AN63" s="36">
        <v>0.2</v>
      </c>
      <c r="AO63" s="36" t="s">
        <v>38</v>
      </c>
      <c r="AP63" s="36" t="s">
        <v>38</v>
      </c>
      <c r="AQ63" s="36">
        <v>0.218</v>
      </c>
      <c r="AR63" s="36" t="s">
        <v>38</v>
      </c>
      <c r="AS63" s="36">
        <v>0.17499999999999999</v>
      </c>
      <c r="AT63" s="36" t="s">
        <v>38</v>
      </c>
      <c r="AU63" s="36">
        <v>0.13300000000000001</v>
      </c>
      <c r="AV63" s="36" t="s">
        <v>38</v>
      </c>
      <c r="AW63" s="36" t="s">
        <v>38</v>
      </c>
      <c r="AX63" s="36" t="s">
        <v>38</v>
      </c>
      <c r="AY63" s="36">
        <v>0.19800000000000001</v>
      </c>
      <c r="AZ63" s="36">
        <v>0.13300000000000001</v>
      </c>
      <c r="BA63" s="36">
        <v>0.184</v>
      </c>
      <c r="BB63" s="37">
        <v>0.14549999999999999</v>
      </c>
      <c r="BC63" s="36">
        <v>0.19850000000000001</v>
      </c>
      <c r="BD63" s="37">
        <v>0.23299999999999998</v>
      </c>
      <c r="BE63" s="37">
        <v>0.221</v>
      </c>
      <c r="BF63" s="37">
        <v>0.1145</v>
      </c>
      <c r="BG63" s="36">
        <v>0.22750000000000001</v>
      </c>
      <c r="BH63" s="38" t="s">
        <v>38</v>
      </c>
      <c r="BI63" s="38" t="s">
        <v>38</v>
      </c>
      <c r="BJ63" s="38" t="s">
        <v>38</v>
      </c>
      <c r="BK63" s="38">
        <v>0.224</v>
      </c>
      <c r="BL63" s="38" t="s">
        <v>38</v>
      </c>
      <c r="BM63" s="38" t="s">
        <v>38</v>
      </c>
      <c r="BN63" s="38" t="s">
        <v>38</v>
      </c>
      <c r="BO63" s="38" t="s">
        <v>38</v>
      </c>
      <c r="BP63" s="38" t="s">
        <v>38</v>
      </c>
      <c r="BQ63" s="38">
        <v>0.14599999999999999</v>
      </c>
      <c r="BR63" s="41">
        <v>0.193</v>
      </c>
      <c r="BS63" s="41">
        <v>0.15049999999999999</v>
      </c>
      <c r="BT63" s="41">
        <v>0.14399999999999999</v>
      </c>
      <c r="BU63" s="42">
        <v>0.182</v>
      </c>
      <c r="BV63" s="41" t="s">
        <v>38</v>
      </c>
      <c r="BW63" s="41" t="s">
        <v>38</v>
      </c>
      <c r="BX63" s="41" t="s">
        <v>38</v>
      </c>
      <c r="BY63" s="85">
        <f>(0.22+0.213)/2</f>
        <v>0.2165</v>
      </c>
      <c r="BZ63" s="85">
        <f>(0.351+0.382)/2</f>
        <v>0.36649999999999999</v>
      </c>
      <c r="CA63" s="89">
        <v>0.26350000000000001</v>
      </c>
    </row>
    <row r="64" spans="1:79">
      <c r="A64" s="21" t="s">
        <v>17</v>
      </c>
      <c r="B64" s="82">
        <v>254457.14039799999</v>
      </c>
      <c r="C64" s="82">
        <v>4505622.2859399999</v>
      </c>
      <c r="D64" s="19">
        <v>0.23350000000000001</v>
      </c>
      <c r="E64" s="19">
        <v>0.2</v>
      </c>
      <c r="F64" s="19">
        <v>0.23499999999999999</v>
      </c>
      <c r="G64" s="19">
        <v>0.22800000000000001</v>
      </c>
      <c r="H64" s="19">
        <v>0.21099999999999999</v>
      </c>
      <c r="I64" s="19">
        <v>0.14599999999999999</v>
      </c>
      <c r="J64" s="19">
        <v>0.123</v>
      </c>
      <c r="K64" s="19">
        <v>7.6999999999999999E-2</v>
      </c>
      <c r="L64" s="19">
        <v>0.17050000000000001</v>
      </c>
      <c r="M64" s="19">
        <v>6.3500000000000001E-2</v>
      </c>
      <c r="N64" s="16">
        <v>0.12</v>
      </c>
      <c r="O64" s="16">
        <v>7.8499999999999986E-2</v>
      </c>
      <c r="P64" s="23" t="s">
        <v>38</v>
      </c>
      <c r="Q64" s="16">
        <v>0.161</v>
      </c>
      <c r="R64" s="16" t="s">
        <v>38</v>
      </c>
      <c r="S64" s="16" t="s">
        <v>38</v>
      </c>
      <c r="T64" s="36">
        <v>0.23200000000000001</v>
      </c>
      <c r="U64" s="36">
        <v>0.23799999999999999</v>
      </c>
      <c r="V64" s="23" t="s">
        <v>38</v>
      </c>
      <c r="W64" s="36">
        <v>0.249</v>
      </c>
      <c r="X64" s="36">
        <v>0.217</v>
      </c>
      <c r="Y64" s="23" t="s">
        <v>38</v>
      </c>
      <c r="Z64" s="36">
        <v>0.23</v>
      </c>
      <c r="AA64" s="36">
        <v>0.23300000000000001</v>
      </c>
      <c r="AB64" s="36" t="s">
        <v>38</v>
      </c>
      <c r="AC64" s="36">
        <v>0.23699999999999999</v>
      </c>
      <c r="AD64" s="36">
        <v>0.22500000000000001</v>
      </c>
      <c r="AE64" s="36" t="s">
        <v>38</v>
      </c>
      <c r="AF64" s="36">
        <v>0.14699999999999999</v>
      </c>
      <c r="AG64" s="36">
        <v>0.157</v>
      </c>
      <c r="AH64" s="36">
        <v>9.1999999999999998E-2</v>
      </c>
      <c r="AI64" s="36" t="s">
        <v>38</v>
      </c>
      <c r="AJ64" s="36" t="s">
        <v>38</v>
      </c>
      <c r="AK64" s="36">
        <v>0.11899999999999999</v>
      </c>
      <c r="AL64" s="36">
        <v>0.22900000000000001</v>
      </c>
      <c r="AM64" s="36">
        <v>0.24</v>
      </c>
      <c r="AN64" s="36">
        <v>0.192</v>
      </c>
      <c r="AO64" s="36" t="s">
        <v>38</v>
      </c>
      <c r="AP64" s="36" t="s">
        <v>38</v>
      </c>
      <c r="AQ64" s="36">
        <v>0.215</v>
      </c>
      <c r="AR64" s="36" t="s">
        <v>38</v>
      </c>
      <c r="AS64" s="36">
        <v>0.16500000000000001</v>
      </c>
      <c r="AT64" s="36" t="s">
        <v>38</v>
      </c>
      <c r="AU64" s="36">
        <v>0.125</v>
      </c>
      <c r="AV64" s="36" t="s">
        <v>38</v>
      </c>
      <c r="AW64" s="36" t="s">
        <v>38</v>
      </c>
      <c r="AX64" s="36" t="s">
        <v>38</v>
      </c>
      <c r="AY64" s="36">
        <v>9.7000000000000003E-2</v>
      </c>
      <c r="AZ64" s="36">
        <v>8.5000000000000006E-2</v>
      </c>
      <c r="BA64" s="36">
        <v>9.6000000000000002E-2</v>
      </c>
      <c r="BB64" s="37">
        <v>0.11799999999999999</v>
      </c>
      <c r="BC64" s="36">
        <v>0.14749999999999999</v>
      </c>
      <c r="BD64" s="37">
        <v>0.20849999999999999</v>
      </c>
      <c r="BE64" s="37">
        <v>0.21550000000000002</v>
      </c>
      <c r="BF64" s="37">
        <v>0.1135</v>
      </c>
      <c r="BG64" s="36">
        <v>0.20150000000000001</v>
      </c>
      <c r="BH64" s="38" t="s">
        <v>38</v>
      </c>
      <c r="BI64" s="38" t="s">
        <v>38</v>
      </c>
      <c r="BJ64" s="38" t="s">
        <v>38</v>
      </c>
      <c r="BK64" s="38">
        <v>0.20549999999999999</v>
      </c>
      <c r="BL64" s="38" t="s">
        <v>38</v>
      </c>
      <c r="BM64" s="38" t="s">
        <v>38</v>
      </c>
      <c r="BN64" s="38" t="s">
        <v>38</v>
      </c>
      <c r="BO64" s="38" t="s">
        <v>38</v>
      </c>
      <c r="BP64" s="38" t="s">
        <v>38</v>
      </c>
      <c r="BQ64" s="38">
        <v>0.1215</v>
      </c>
      <c r="BR64" s="41">
        <v>0.17799999999999999</v>
      </c>
      <c r="BS64" s="41">
        <v>0.121</v>
      </c>
      <c r="BT64" s="41">
        <v>0.114</v>
      </c>
      <c r="BU64" s="42">
        <v>0.16600000000000001</v>
      </c>
      <c r="BV64" s="41" t="s">
        <v>38</v>
      </c>
      <c r="BW64" s="41" t="s">
        <v>38</v>
      </c>
      <c r="BX64" s="41" t="s">
        <v>38</v>
      </c>
      <c r="BY64" s="85">
        <f>(0.225+0.208)/2</f>
        <v>0.2165</v>
      </c>
      <c r="BZ64" s="85">
        <f>(0.311+0.318)/2</f>
        <v>0.3145</v>
      </c>
      <c r="CA64" s="89">
        <v>0.255</v>
      </c>
    </row>
    <row r="65" spans="1:79">
      <c r="A65" s="21">
        <v>52</v>
      </c>
      <c r="B65" s="82">
        <v>254458.46923300001</v>
      </c>
      <c r="C65" s="82">
        <v>4505643.4115500003</v>
      </c>
      <c r="D65" s="19">
        <v>0.20899999999999999</v>
      </c>
      <c r="E65" s="19">
        <v>0.16300000000000001</v>
      </c>
      <c r="F65" s="19">
        <v>0.20399999999999999</v>
      </c>
      <c r="G65" s="19">
        <v>0.19350000000000001</v>
      </c>
      <c r="H65" s="19" t="s">
        <v>38</v>
      </c>
      <c r="I65" s="19">
        <v>0.154</v>
      </c>
      <c r="J65" s="19">
        <v>0.1095</v>
      </c>
      <c r="K65" s="19">
        <v>7.1500000000000008E-2</v>
      </c>
      <c r="L65" s="19">
        <v>0.115</v>
      </c>
      <c r="M65" s="19">
        <v>2.8499999999999998E-2</v>
      </c>
      <c r="N65" s="16">
        <v>8.1000000000000003E-2</v>
      </c>
      <c r="O65" s="16">
        <v>3.9E-2</v>
      </c>
      <c r="P65" s="16">
        <v>7.1500000000000008E-2</v>
      </c>
      <c r="Q65" s="16">
        <v>0.11</v>
      </c>
      <c r="R65" s="16">
        <v>0.11849999999999999</v>
      </c>
      <c r="S65" s="16">
        <v>9.8500000000000004E-2</v>
      </c>
      <c r="T65" s="36">
        <v>0.218</v>
      </c>
      <c r="U65" s="36">
        <v>0.22500000000000001</v>
      </c>
      <c r="V65" s="23" t="s">
        <v>38</v>
      </c>
      <c r="W65" s="36">
        <v>0.24399999999999999</v>
      </c>
      <c r="X65" s="36">
        <v>0.17299999999999999</v>
      </c>
      <c r="Y65" s="36">
        <v>0.152</v>
      </c>
      <c r="Z65" s="36">
        <v>0.214</v>
      </c>
      <c r="AA65" s="36">
        <v>0.22</v>
      </c>
      <c r="AB65" s="36">
        <v>0.246</v>
      </c>
      <c r="AC65" s="36">
        <v>0.20899999999999999</v>
      </c>
      <c r="AD65" s="36">
        <v>0.20799999999999999</v>
      </c>
      <c r="AE65" s="36">
        <v>0.188</v>
      </c>
      <c r="AF65" s="36">
        <v>0.129</v>
      </c>
      <c r="AG65" s="36">
        <v>0.128</v>
      </c>
      <c r="AH65" s="36">
        <v>8.5000000000000006E-2</v>
      </c>
      <c r="AI65" s="36">
        <v>0.1</v>
      </c>
      <c r="AJ65" s="36">
        <v>9.7000000000000003E-2</v>
      </c>
      <c r="AK65" s="36">
        <v>9.6000000000000002E-2</v>
      </c>
      <c r="AL65" s="36">
        <v>0.216</v>
      </c>
      <c r="AM65" s="36">
        <v>0.21199999999999999</v>
      </c>
      <c r="AN65" s="36">
        <v>0.17299999999999999</v>
      </c>
      <c r="AO65" s="36">
        <v>0.14099999999999999</v>
      </c>
      <c r="AP65" s="36">
        <v>0.191</v>
      </c>
      <c r="AQ65" s="36">
        <v>0.13600000000000001</v>
      </c>
      <c r="AR65" s="36">
        <v>0.12</v>
      </c>
      <c r="AS65" s="36">
        <v>0.104</v>
      </c>
      <c r="AT65" s="36">
        <v>8.5999999999999993E-2</v>
      </c>
      <c r="AU65" s="36">
        <v>8.2000000000000003E-2</v>
      </c>
      <c r="AV65" s="36">
        <v>7.4999999999999997E-2</v>
      </c>
      <c r="AW65" s="36">
        <v>3.9E-2</v>
      </c>
      <c r="AX65" s="36">
        <v>5.7000000000000002E-2</v>
      </c>
      <c r="AY65" s="36">
        <v>0.219</v>
      </c>
      <c r="AZ65" s="36">
        <v>0.153</v>
      </c>
      <c r="BA65" s="36">
        <v>0.215</v>
      </c>
      <c r="BB65" s="37">
        <v>5.7500000000000002E-2</v>
      </c>
      <c r="BC65" s="36">
        <v>0.10450000000000001</v>
      </c>
      <c r="BD65" s="37">
        <v>0.1105</v>
      </c>
      <c r="BE65" s="37" t="s">
        <v>38</v>
      </c>
      <c r="BF65" s="37" t="s">
        <v>38</v>
      </c>
      <c r="BG65" s="36">
        <v>0.14950000000000002</v>
      </c>
      <c r="BH65" s="38">
        <v>0.14549999999999999</v>
      </c>
      <c r="BI65" s="38">
        <v>0.16550000000000001</v>
      </c>
      <c r="BJ65" s="38">
        <v>0.155</v>
      </c>
      <c r="BK65" s="38">
        <v>0.14899999999999999</v>
      </c>
      <c r="BL65" s="38">
        <v>0.16750000000000001</v>
      </c>
      <c r="BM65" s="38">
        <v>0.1835</v>
      </c>
      <c r="BN65" s="39" t="s">
        <v>38</v>
      </c>
      <c r="BO65" s="40">
        <v>0.193</v>
      </c>
      <c r="BP65" s="38">
        <v>0.20300000000000001</v>
      </c>
      <c r="BQ65" s="38">
        <v>0.129</v>
      </c>
      <c r="BR65" s="41">
        <v>0.161</v>
      </c>
      <c r="BS65" s="41">
        <v>0.126</v>
      </c>
      <c r="BT65" s="41">
        <v>0.11649999999999999</v>
      </c>
      <c r="BU65" s="42">
        <v>0.122</v>
      </c>
      <c r="BV65" s="41">
        <v>9.2499999999999999E-2</v>
      </c>
      <c r="BW65" s="42">
        <v>0.13100000000000001</v>
      </c>
      <c r="BX65" s="41" t="s">
        <v>38</v>
      </c>
      <c r="BY65" s="85">
        <f>(0.243+0.233)/2</f>
        <v>0.23799999999999999</v>
      </c>
      <c r="BZ65" s="85">
        <f>(0.309+0.315)/2</f>
        <v>0.312</v>
      </c>
      <c r="CA65" s="89">
        <v>0.23449999999999999</v>
      </c>
    </row>
    <row r="66" spans="1:79">
      <c r="A66" s="21">
        <v>53</v>
      </c>
      <c r="B66" s="82">
        <v>254461.35652100001</v>
      </c>
      <c r="C66" s="82">
        <v>4505680.3409799999</v>
      </c>
      <c r="D66" s="19">
        <v>0.248</v>
      </c>
      <c r="E66" s="19">
        <v>0.24049999999999999</v>
      </c>
      <c r="F66" s="19">
        <v>0.25</v>
      </c>
      <c r="G66" s="19">
        <v>0.2455</v>
      </c>
      <c r="H66" s="19">
        <v>0.214</v>
      </c>
      <c r="I66" s="19">
        <v>0.154</v>
      </c>
      <c r="J66" s="19">
        <v>0.13100000000000001</v>
      </c>
      <c r="K66" s="19">
        <v>8.1499999999999989E-2</v>
      </c>
      <c r="L66" s="19" t="s">
        <v>38</v>
      </c>
      <c r="M66" s="19" t="s">
        <v>38</v>
      </c>
      <c r="N66" s="23" t="s">
        <v>38</v>
      </c>
      <c r="O66" s="23" t="s">
        <v>38</v>
      </c>
      <c r="P66" s="23" t="s">
        <v>38</v>
      </c>
      <c r="Q66" s="23" t="s">
        <v>38</v>
      </c>
      <c r="R66" s="23" t="s">
        <v>38</v>
      </c>
      <c r="S66" s="23" t="s">
        <v>38</v>
      </c>
      <c r="T66" s="36">
        <v>0.28100000000000003</v>
      </c>
      <c r="U66" s="36">
        <v>0.29699999999999999</v>
      </c>
      <c r="V66" s="36">
        <v>0.31900000000000001</v>
      </c>
      <c r="W66" s="36">
        <v>0.25800000000000001</v>
      </c>
      <c r="X66" s="36">
        <v>0.186</v>
      </c>
      <c r="Y66" s="36">
        <v>0.19800000000000001</v>
      </c>
      <c r="Z66" s="36">
        <v>0.249</v>
      </c>
      <c r="AA66" s="36">
        <v>0.29699999999999999</v>
      </c>
      <c r="AB66" s="36">
        <v>0.32100000000000001</v>
      </c>
      <c r="AC66" s="36">
        <v>0.23699999999999999</v>
      </c>
      <c r="AD66" s="36">
        <v>0.224</v>
      </c>
      <c r="AE66" s="36">
        <v>0.22900000000000001</v>
      </c>
      <c r="AF66" s="36">
        <v>0.16700000000000001</v>
      </c>
      <c r="AG66" s="36">
        <v>0.24099999999999999</v>
      </c>
      <c r="AH66" s="36">
        <v>0.13700000000000001</v>
      </c>
      <c r="AI66" s="36">
        <v>0.151</v>
      </c>
      <c r="AJ66" s="36">
        <v>0.11600000000000001</v>
      </c>
      <c r="AK66" s="36">
        <v>0.125</v>
      </c>
      <c r="AL66" s="36">
        <v>0.30299999999999999</v>
      </c>
      <c r="AM66" s="36">
        <v>0.32800000000000001</v>
      </c>
      <c r="AN66" s="36">
        <v>0.188</v>
      </c>
      <c r="AO66" s="36">
        <v>0.154</v>
      </c>
      <c r="AP66" s="36">
        <v>0.20399999999999999</v>
      </c>
      <c r="AQ66" s="36">
        <v>0.17799999999999999</v>
      </c>
      <c r="AR66" s="36">
        <v>0.154</v>
      </c>
      <c r="AS66" s="36">
        <v>0.14399999999999999</v>
      </c>
      <c r="AT66" s="36">
        <v>0.14499999999999999</v>
      </c>
      <c r="AU66" s="36">
        <v>0.108</v>
      </c>
      <c r="AV66" s="36">
        <v>0.115</v>
      </c>
      <c r="AW66" s="36">
        <v>7.5999999999999998E-2</v>
      </c>
      <c r="AX66" s="36">
        <v>0.10299999999999999</v>
      </c>
      <c r="AY66" s="36">
        <v>0.22700000000000001</v>
      </c>
      <c r="AZ66" s="36">
        <v>0.17599999999999999</v>
      </c>
      <c r="BA66" s="36">
        <v>0.22500000000000001</v>
      </c>
      <c r="BB66" s="37">
        <v>0.14199999999999999</v>
      </c>
      <c r="BC66" s="36">
        <v>0.183</v>
      </c>
      <c r="BD66" s="37">
        <v>0.23499999999999999</v>
      </c>
      <c r="BE66" s="37" t="s">
        <v>38</v>
      </c>
      <c r="BF66" s="37">
        <v>0.1295</v>
      </c>
      <c r="BG66" s="36">
        <v>0.21299999999999999</v>
      </c>
      <c r="BH66" s="38">
        <v>0.19900000000000001</v>
      </c>
      <c r="BI66" s="38">
        <v>0.23799999999999999</v>
      </c>
      <c r="BJ66" s="38">
        <v>0.20350000000000001</v>
      </c>
      <c r="BK66" s="38">
        <v>0.1905</v>
      </c>
      <c r="BL66" s="38">
        <v>0.22649999999999998</v>
      </c>
      <c r="BM66" s="38">
        <v>0.24099999999999999</v>
      </c>
      <c r="BN66" s="39" t="s">
        <v>38</v>
      </c>
      <c r="BO66" s="40">
        <v>0.22949999999999998</v>
      </c>
      <c r="BP66" s="38">
        <v>0.26550000000000001</v>
      </c>
      <c r="BQ66" s="38">
        <v>0.13650000000000001</v>
      </c>
      <c r="BR66" s="41">
        <v>0.16850000000000001</v>
      </c>
      <c r="BS66" s="41">
        <v>0.1215</v>
      </c>
      <c r="BT66" s="41">
        <v>0.1215</v>
      </c>
      <c r="BU66" s="42">
        <v>0.17149999999999999</v>
      </c>
      <c r="BV66" s="41">
        <v>0.10350000000000001</v>
      </c>
      <c r="BW66" s="42" t="s">
        <v>38</v>
      </c>
      <c r="BX66" s="41" t="s">
        <v>38</v>
      </c>
      <c r="BY66" s="85">
        <f>(0.226+0.251)/2</f>
        <v>0.23849999999999999</v>
      </c>
      <c r="BZ66" s="85">
        <f>(0.331+0.313)/2</f>
        <v>0.32200000000000001</v>
      </c>
      <c r="CA66" s="89">
        <v>0.2535</v>
      </c>
    </row>
    <row r="67" spans="1:79">
      <c r="A67" s="21" t="s">
        <v>18</v>
      </c>
      <c r="B67" s="82">
        <v>254462.48352099999</v>
      </c>
      <c r="C67" s="82">
        <v>4505680.94594</v>
      </c>
      <c r="D67" s="19">
        <v>0.25900000000000001</v>
      </c>
      <c r="E67" s="19">
        <v>0.24399999999999999</v>
      </c>
      <c r="F67" s="19">
        <v>0.248</v>
      </c>
      <c r="G67" s="19">
        <v>0.26800000000000002</v>
      </c>
      <c r="H67" s="19">
        <v>0.246</v>
      </c>
      <c r="I67" s="19">
        <v>0.17699999999999999</v>
      </c>
      <c r="J67" s="19">
        <v>0.13250000000000001</v>
      </c>
      <c r="K67" s="19">
        <v>9.5000000000000001E-2</v>
      </c>
      <c r="L67" s="19">
        <v>0.14549999999999999</v>
      </c>
      <c r="M67" s="19">
        <v>8.6999999999999994E-2</v>
      </c>
      <c r="N67" s="16">
        <v>0.14499999999999999</v>
      </c>
      <c r="O67" s="16">
        <v>9.5500000000000002E-2</v>
      </c>
      <c r="P67" s="23" t="s">
        <v>38</v>
      </c>
      <c r="Q67" s="16">
        <v>0.214</v>
      </c>
      <c r="R67" s="23" t="s">
        <v>38</v>
      </c>
      <c r="S67" s="23" t="s">
        <v>38</v>
      </c>
      <c r="T67" s="36">
        <v>0.27</v>
      </c>
      <c r="U67" s="36">
        <v>0.27200000000000002</v>
      </c>
      <c r="V67" s="36">
        <v>0.30099999999999999</v>
      </c>
      <c r="W67" s="36">
        <v>0.31</v>
      </c>
      <c r="X67" s="36">
        <v>0.20699999999999999</v>
      </c>
      <c r="Y67" s="36" t="s">
        <v>38</v>
      </c>
      <c r="Z67" s="36">
        <v>0.27100000000000002</v>
      </c>
      <c r="AA67" s="36">
        <v>0.28199999999999997</v>
      </c>
      <c r="AB67" s="36" t="s">
        <v>38</v>
      </c>
      <c r="AC67" s="36">
        <v>0.25700000000000001</v>
      </c>
      <c r="AD67" s="36">
        <v>0.22900000000000001</v>
      </c>
      <c r="AE67" s="36" t="s">
        <v>38</v>
      </c>
      <c r="AF67" s="36">
        <v>0.159</v>
      </c>
      <c r="AG67" s="36">
        <v>0.152</v>
      </c>
      <c r="AH67" s="36">
        <v>0.121</v>
      </c>
      <c r="AI67" s="36" t="s">
        <v>38</v>
      </c>
      <c r="AJ67" s="36" t="s">
        <v>38</v>
      </c>
      <c r="AK67" s="36">
        <v>0.123</v>
      </c>
      <c r="AL67" s="36">
        <v>0.247</v>
      </c>
      <c r="AM67" s="36">
        <v>0.29099999999999998</v>
      </c>
      <c r="AN67" s="36">
        <v>0.217</v>
      </c>
      <c r="AO67" s="36" t="s">
        <v>38</v>
      </c>
      <c r="AP67" s="36" t="s">
        <v>38</v>
      </c>
      <c r="AQ67" s="36">
        <v>0.19</v>
      </c>
      <c r="AR67" s="36" t="s">
        <v>38</v>
      </c>
      <c r="AS67" s="36">
        <v>0.157</v>
      </c>
      <c r="AT67" s="36" t="s">
        <v>38</v>
      </c>
      <c r="AU67" s="36">
        <v>0.126</v>
      </c>
      <c r="AV67" s="36" t="s">
        <v>38</v>
      </c>
      <c r="AW67" s="36" t="s">
        <v>38</v>
      </c>
      <c r="AX67" s="36" t="s">
        <v>38</v>
      </c>
      <c r="AY67" s="36">
        <v>0.21</v>
      </c>
      <c r="AZ67" s="36">
        <v>0.16</v>
      </c>
      <c r="BA67" s="36">
        <v>0.20300000000000001</v>
      </c>
      <c r="BB67" s="37">
        <v>0.1525</v>
      </c>
      <c r="BC67" s="36" t="s">
        <v>38</v>
      </c>
      <c r="BD67" s="37">
        <v>0.26450000000000001</v>
      </c>
      <c r="BE67" s="37" t="s">
        <v>38</v>
      </c>
      <c r="BF67" s="37">
        <v>0.16900000000000001</v>
      </c>
      <c r="BG67" s="36">
        <v>0.22700000000000001</v>
      </c>
      <c r="BH67" s="38" t="s">
        <v>38</v>
      </c>
      <c r="BI67" s="38" t="s">
        <v>38</v>
      </c>
      <c r="BJ67" s="38" t="s">
        <v>38</v>
      </c>
      <c r="BK67" s="38">
        <v>0.23100000000000001</v>
      </c>
      <c r="BL67" s="38" t="s">
        <v>38</v>
      </c>
      <c r="BM67" s="38" t="s">
        <v>38</v>
      </c>
      <c r="BN67" s="38" t="s">
        <v>38</v>
      </c>
      <c r="BO67" s="38" t="s">
        <v>38</v>
      </c>
      <c r="BP67" s="38" t="s">
        <v>38</v>
      </c>
      <c r="BQ67" s="38">
        <v>0.14249999999999999</v>
      </c>
      <c r="BR67" s="41">
        <v>0.17849999999999999</v>
      </c>
      <c r="BS67" s="41">
        <v>0.125</v>
      </c>
      <c r="BT67" s="41">
        <v>0.13550000000000001</v>
      </c>
      <c r="BU67" s="42">
        <v>0.14599999999999999</v>
      </c>
      <c r="BV67" s="38" t="s">
        <v>38</v>
      </c>
      <c r="BW67" s="42">
        <v>0.224</v>
      </c>
      <c r="BX67" s="41" t="s">
        <v>38</v>
      </c>
      <c r="BY67" s="85">
        <f>(0.23+0.226)/2</f>
        <v>0.22800000000000001</v>
      </c>
      <c r="BZ67" s="85">
        <f>(0.319+0.317)/2</f>
        <v>0.318</v>
      </c>
      <c r="CA67" s="89">
        <v>0.23899999999999999</v>
      </c>
    </row>
    <row r="68" spans="1:79">
      <c r="A68" s="21" t="s">
        <v>19</v>
      </c>
      <c r="B68" s="82">
        <v>254462.19347299999</v>
      </c>
      <c r="C68" s="82">
        <v>4505679.2486500004</v>
      </c>
      <c r="D68" s="19">
        <v>0.23400000000000001</v>
      </c>
      <c r="E68" s="19">
        <v>0.25700000000000001</v>
      </c>
      <c r="F68" s="19">
        <v>0.26950000000000002</v>
      </c>
      <c r="G68" s="19">
        <v>0.2535</v>
      </c>
      <c r="H68" s="19">
        <v>0.2475</v>
      </c>
      <c r="I68" s="19">
        <v>0.1575</v>
      </c>
      <c r="J68" s="19">
        <v>0.13100000000000001</v>
      </c>
      <c r="K68" s="19">
        <v>9.1999999999999998E-2</v>
      </c>
      <c r="L68" s="19">
        <v>0.14249999999999999</v>
      </c>
      <c r="M68" s="19">
        <v>7.6000000000000012E-2</v>
      </c>
      <c r="N68" s="16">
        <v>0.151</v>
      </c>
      <c r="O68" s="16">
        <v>8.0500000000000002E-2</v>
      </c>
      <c r="P68" s="23" t="s">
        <v>38</v>
      </c>
      <c r="Q68" s="16">
        <v>0.17699999999999999</v>
      </c>
      <c r="R68" s="23" t="s">
        <v>38</v>
      </c>
      <c r="S68" s="23" t="s">
        <v>38</v>
      </c>
      <c r="T68" s="36">
        <v>0.23400000000000001</v>
      </c>
      <c r="U68" s="36">
        <v>0.23599999999999999</v>
      </c>
      <c r="V68" s="36">
        <v>0.26400000000000001</v>
      </c>
      <c r="W68" s="36">
        <v>0.22800000000000001</v>
      </c>
      <c r="X68" s="36">
        <v>0.19700000000000001</v>
      </c>
      <c r="Y68" s="36" t="s">
        <v>38</v>
      </c>
      <c r="Z68" s="36">
        <v>0.23899999999999999</v>
      </c>
      <c r="AA68" s="36">
        <v>0.27300000000000002</v>
      </c>
      <c r="AB68" s="36" t="s">
        <v>38</v>
      </c>
      <c r="AC68" s="36">
        <v>0.245</v>
      </c>
      <c r="AD68" s="36">
        <v>0.21</v>
      </c>
      <c r="AE68" s="36" t="s">
        <v>38</v>
      </c>
      <c r="AF68" s="36">
        <v>0.129</v>
      </c>
      <c r="AG68" s="36">
        <v>0.14699999999999999</v>
      </c>
      <c r="AH68" s="36">
        <v>0.104</v>
      </c>
      <c r="AI68" s="36" t="s">
        <v>38</v>
      </c>
      <c r="AJ68" s="36" t="s">
        <v>38</v>
      </c>
      <c r="AK68" s="36">
        <v>0.107</v>
      </c>
      <c r="AL68" s="36">
        <v>0.23799999999999999</v>
      </c>
      <c r="AM68" s="36">
        <v>0.26900000000000002</v>
      </c>
      <c r="AN68" s="36">
        <v>0.19400000000000001</v>
      </c>
      <c r="AO68" s="36" t="s">
        <v>38</v>
      </c>
      <c r="AP68" s="36" t="s">
        <v>38</v>
      </c>
      <c r="AQ68" s="36">
        <v>0.20599999999999999</v>
      </c>
      <c r="AR68" s="36" t="s">
        <v>38</v>
      </c>
      <c r="AS68" s="36">
        <v>0.14499999999999999</v>
      </c>
      <c r="AT68" s="36" t="s">
        <v>38</v>
      </c>
      <c r="AU68" s="36">
        <v>0.11600000000000001</v>
      </c>
      <c r="AV68" s="36" t="s">
        <v>38</v>
      </c>
      <c r="AW68" s="36" t="s">
        <v>38</v>
      </c>
      <c r="AX68" s="36" t="s">
        <v>38</v>
      </c>
      <c r="AY68" s="36">
        <v>0.17399999999999999</v>
      </c>
      <c r="AZ68" s="36">
        <v>0.14299999999999999</v>
      </c>
      <c r="BA68" s="36">
        <v>0.17399999999999999</v>
      </c>
      <c r="BB68" s="37">
        <v>0.127</v>
      </c>
      <c r="BC68" s="36" t="s">
        <v>38</v>
      </c>
      <c r="BD68" s="37">
        <v>0.2</v>
      </c>
      <c r="BE68" s="37" t="s">
        <v>38</v>
      </c>
      <c r="BF68" s="37">
        <v>0.14699999999999999</v>
      </c>
      <c r="BG68" s="36">
        <v>0.2235</v>
      </c>
      <c r="BH68" s="38" t="s">
        <v>38</v>
      </c>
      <c r="BI68" s="38" t="s">
        <v>38</v>
      </c>
      <c r="BJ68" s="38" t="s">
        <v>38</v>
      </c>
      <c r="BK68" s="38">
        <v>0.20700000000000002</v>
      </c>
      <c r="BL68" s="38" t="s">
        <v>38</v>
      </c>
      <c r="BM68" s="38" t="s">
        <v>38</v>
      </c>
      <c r="BN68" s="38" t="s">
        <v>38</v>
      </c>
      <c r="BO68" s="38" t="s">
        <v>38</v>
      </c>
      <c r="BP68" s="38" t="s">
        <v>38</v>
      </c>
      <c r="BQ68" s="38">
        <v>0.14199999999999999</v>
      </c>
      <c r="BR68" s="41">
        <v>0.158</v>
      </c>
      <c r="BS68" s="41">
        <v>0.129</v>
      </c>
      <c r="BT68" s="41">
        <v>0.1255</v>
      </c>
      <c r="BU68" s="42">
        <v>0.1515</v>
      </c>
      <c r="BV68" s="38" t="s">
        <v>38</v>
      </c>
      <c r="BW68" s="42" t="s">
        <v>38</v>
      </c>
      <c r="BX68" s="41" t="s">
        <v>38</v>
      </c>
      <c r="BY68" s="85">
        <f>(0.28+0.269)/2</f>
        <v>0.27450000000000002</v>
      </c>
      <c r="BZ68" s="85" t="s">
        <v>38</v>
      </c>
      <c r="CA68" s="89" t="s">
        <v>38</v>
      </c>
    </row>
    <row r="69" spans="1:79">
      <c r="A69" s="21" t="s">
        <v>20</v>
      </c>
      <c r="B69" s="82">
        <v>254460.18427299999</v>
      </c>
      <c r="C69" s="82">
        <v>4505679.29464</v>
      </c>
      <c r="D69" s="19">
        <v>0.26050000000000001</v>
      </c>
      <c r="E69" s="19">
        <v>0.22850000000000001</v>
      </c>
      <c r="F69" s="19">
        <v>0.23499999999999999</v>
      </c>
      <c r="G69" s="19">
        <v>0.25650000000000001</v>
      </c>
      <c r="H69" s="19">
        <v>0.24049999999999999</v>
      </c>
      <c r="I69" s="19">
        <v>0.14800000000000002</v>
      </c>
      <c r="J69" s="19">
        <v>0.1285</v>
      </c>
      <c r="K69" s="19">
        <v>9.8000000000000004E-2</v>
      </c>
      <c r="L69" s="19">
        <v>0.161</v>
      </c>
      <c r="M69" s="19">
        <v>8.299999999999999E-2</v>
      </c>
      <c r="N69" s="16">
        <v>0.11550000000000001</v>
      </c>
      <c r="O69" s="16">
        <v>8.0500000000000002E-2</v>
      </c>
      <c r="P69" s="16">
        <v>9.1499999999999998E-2</v>
      </c>
      <c r="Q69" s="16">
        <v>0.17099999999999999</v>
      </c>
      <c r="R69" s="16">
        <v>0.185</v>
      </c>
      <c r="S69" s="16">
        <v>0.14400000000000002</v>
      </c>
      <c r="T69" s="36">
        <v>0.251</v>
      </c>
      <c r="U69" s="36">
        <v>0.251</v>
      </c>
      <c r="V69" s="36">
        <v>0.26100000000000001</v>
      </c>
      <c r="W69" s="36">
        <v>0.26500000000000001</v>
      </c>
      <c r="X69" s="36">
        <v>0.22800000000000001</v>
      </c>
      <c r="Y69" s="36" t="s">
        <v>38</v>
      </c>
      <c r="Z69" s="36">
        <v>0.27800000000000002</v>
      </c>
      <c r="AA69" s="36">
        <v>0.28699999999999998</v>
      </c>
      <c r="AB69" s="36" t="s">
        <v>38</v>
      </c>
      <c r="AC69" s="36">
        <v>0.26600000000000001</v>
      </c>
      <c r="AD69" s="36">
        <v>0.20799999999999999</v>
      </c>
      <c r="AE69" s="36" t="s">
        <v>38</v>
      </c>
      <c r="AF69" s="36">
        <v>0.14799999999999999</v>
      </c>
      <c r="AG69" s="36">
        <v>0.15</v>
      </c>
      <c r="AH69" s="36">
        <v>0.10199999999999999</v>
      </c>
      <c r="AI69" s="36" t="s">
        <v>38</v>
      </c>
      <c r="AJ69" s="36" t="s">
        <v>38</v>
      </c>
      <c r="AK69" s="36">
        <v>0.11600000000000001</v>
      </c>
      <c r="AL69" s="36">
        <v>0.247</v>
      </c>
      <c r="AM69" s="36">
        <v>0.26700000000000002</v>
      </c>
      <c r="AN69" s="36">
        <v>0.193</v>
      </c>
      <c r="AO69" s="36" t="s">
        <v>38</v>
      </c>
      <c r="AP69" s="36" t="s">
        <v>38</v>
      </c>
      <c r="AQ69" s="36">
        <v>0.22800000000000001</v>
      </c>
      <c r="AR69" s="36" t="s">
        <v>38</v>
      </c>
      <c r="AS69" s="36">
        <v>0.14399999999999999</v>
      </c>
      <c r="AT69" s="36" t="s">
        <v>38</v>
      </c>
      <c r="AU69" s="36">
        <v>0.106</v>
      </c>
      <c r="AV69" s="36" t="s">
        <v>38</v>
      </c>
      <c r="AW69" s="36" t="s">
        <v>38</v>
      </c>
      <c r="AX69" s="36" t="s">
        <v>38</v>
      </c>
      <c r="AY69" s="36">
        <v>0.13700000000000001</v>
      </c>
      <c r="AZ69" s="36">
        <v>0.123</v>
      </c>
      <c r="BA69" s="36">
        <v>0.152</v>
      </c>
      <c r="BB69" s="37">
        <v>0.11899999999999999</v>
      </c>
      <c r="BC69" s="36" t="s">
        <v>38</v>
      </c>
      <c r="BD69" s="37">
        <v>0.22750000000000001</v>
      </c>
      <c r="BE69" s="37" t="s">
        <v>38</v>
      </c>
      <c r="BF69" s="37">
        <v>0.1105</v>
      </c>
      <c r="BG69" s="36">
        <v>0.224</v>
      </c>
      <c r="BH69" s="38" t="s">
        <v>38</v>
      </c>
      <c r="BI69" s="38" t="s">
        <v>38</v>
      </c>
      <c r="BJ69" s="38" t="s">
        <v>38</v>
      </c>
      <c r="BK69" s="38">
        <v>0.22949999999999998</v>
      </c>
      <c r="BL69" s="38" t="s">
        <v>38</v>
      </c>
      <c r="BM69" s="38" t="s">
        <v>38</v>
      </c>
      <c r="BN69" s="38" t="s">
        <v>38</v>
      </c>
      <c r="BO69" s="38" t="s">
        <v>38</v>
      </c>
      <c r="BP69" s="38" t="s">
        <v>38</v>
      </c>
      <c r="BQ69" s="38">
        <v>0.14000000000000001</v>
      </c>
      <c r="BR69" s="41">
        <v>0.14050000000000001</v>
      </c>
      <c r="BS69" s="41">
        <v>0.13600000000000001</v>
      </c>
      <c r="BT69" s="41">
        <v>0.11649999999999999</v>
      </c>
      <c r="BU69" s="42">
        <v>0.129</v>
      </c>
      <c r="BV69" s="38" t="s">
        <v>38</v>
      </c>
      <c r="BW69" s="42" t="s">
        <v>38</v>
      </c>
      <c r="BX69" s="41" t="s">
        <v>38</v>
      </c>
      <c r="BY69" s="85">
        <f>(0.255+0.243)/2</f>
        <v>0.249</v>
      </c>
      <c r="BZ69" s="85">
        <f>(0.385+0.342)/2</f>
        <v>0.36350000000000005</v>
      </c>
      <c r="CA69" s="89">
        <v>0.26850000000000002</v>
      </c>
    </row>
    <row r="70" spans="1:79">
      <c r="A70" s="21" t="s">
        <v>21</v>
      </c>
      <c r="B70" s="82">
        <v>254460.43630199999</v>
      </c>
      <c r="C70" s="82">
        <v>4505681.1553699998</v>
      </c>
      <c r="D70" s="19">
        <v>0.222</v>
      </c>
      <c r="E70" s="19">
        <v>0.22</v>
      </c>
      <c r="F70" s="19">
        <v>0.22500000000000001</v>
      </c>
      <c r="G70" s="19">
        <v>0.22550000000000001</v>
      </c>
      <c r="H70" s="19">
        <v>0.23049999999999998</v>
      </c>
      <c r="I70" s="19">
        <v>0.13850000000000001</v>
      </c>
      <c r="J70" s="19">
        <v>0.109</v>
      </c>
      <c r="K70" s="19">
        <v>7.4999999999999997E-2</v>
      </c>
      <c r="L70" s="19">
        <v>0.156</v>
      </c>
      <c r="M70" s="19">
        <v>5.6000000000000001E-2</v>
      </c>
      <c r="N70" s="16">
        <v>0.1085</v>
      </c>
      <c r="O70" s="16">
        <v>7.85E-2</v>
      </c>
      <c r="P70" s="23" t="s">
        <v>38</v>
      </c>
      <c r="Q70" s="16">
        <v>0.1615</v>
      </c>
      <c r="R70" s="23" t="s">
        <v>38</v>
      </c>
      <c r="S70" s="23" t="s">
        <v>38</v>
      </c>
      <c r="T70" s="36">
        <v>0.22900000000000001</v>
      </c>
      <c r="U70" s="36">
        <v>0.22900000000000001</v>
      </c>
      <c r="V70" s="36">
        <v>0.25600000000000001</v>
      </c>
      <c r="W70" s="36">
        <v>0.24</v>
      </c>
      <c r="X70" s="36">
        <v>0.19800000000000001</v>
      </c>
      <c r="Y70" s="36" t="s">
        <v>38</v>
      </c>
      <c r="Z70" s="36">
        <v>0.253</v>
      </c>
      <c r="AA70" s="36">
        <v>0.26600000000000001</v>
      </c>
      <c r="AB70" s="36" t="s">
        <v>38</v>
      </c>
      <c r="AC70" s="36">
        <v>0.24</v>
      </c>
      <c r="AD70" s="36">
        <v>0.20899999999999999</v>
      </c>
      <c r="AE70" s="36" t="s">
        <v>38</v>
      </c>
      <c r="AF70" s="36">
        <v>0.122</v>
      </c>
      <c r="AG70" s="36">
        <v>0.11899999999999999</v>
      </c>
      <c r="AH70" s="36">
        <v>9.1999999999999998E-2</v>
      </c>
      <c r="AI70" s="36" t="s">
        <v>38</v>
      </c>
      <c r="AJ70" s="36" t="s">
        <v>38</v>
      </c>
      <c r="AK70" s="36">
        <v>9.9000000000000005E-2</v>
      </c>
      <c r="AL70" s="36">
        <v>0.25900000000000001</v>
      </c>
      <c r="AM70" s="36">
        <v>0.30499999999999999</v>
      </c>
      <c r="AN70" s="36">
        <v>0.19</v>
      </c>
      <c r="AO70" s="36" t="s">
        <v>38</v>
      </c>
      <c r="AP70" s="36" t="s">
        <v>38</v>
      </c>
      <c r="AQ70" s="36">
        <v>0.16900000000000001</v>
      </c>
      <c r="AR70" s="36" t="s">
        <v>38</v>
      </c>
      <c r="AS70" s="36">
        <v>0.13500000000000001</v>
      </c>
      <c r="AT70" s="36" t="s">
        <v>38</v>
      </c>
      <c r="AU70" s="36">
        <v>0.10299999999999999</v>
      </c>
      <c r="AV70" s="36" t="s">
        <v>38</v>
      </c>
      <c r="AW70" s="36" t="s">
        <v>38</v>
      </c>
      <c r="AX70" s="36" t="s">
        <v>38</v>
      </c>
      <c r="AY70" s="36">
        <v>0.154</v>
      </c>
      <c r="AZ70" s="36">
        <v>0.14599999999999999</v>
      </c>
      <c r="BA70" s="36">
        <v>0.25700000000000001</v>
      </c>
      <c r="BB70" s="37">
        <v>0.10200000000000001</v>
      </c>
      <c r="BC70" s="36" t="s">
        <v>38</v>
      </c>
      <c r="BD70" s="37">
        <v>0.187</v>
      </c>
      <c r="BE70" s="37" t="s">
        <v>38</v>
      </c>
      <c r="BF70" s="37">
        <v>9.8500000000000004E-2</v>
      </c>
      <c r="BG70" s="36">
        <v>0.1895</v>
      </c>
      <c r="BH70" s="38" t="s">
        <v>38</v>
      </c>
      <c r="BI70" s="38" t="s">
        <v>38</v>
      </c>
      <c r="BJ70" s="38" t="s">
        <v>38</v>
      </c>
      <c r="BK70" s="38">
        <v>0.222</v>
      </c>
      <c r="BL70" s="38" t="s">
        <v>38</v>
      </c>
      <c r="BM70" s="38" t="s">
        <v>38</v>
      </c>
      <c r="BN70" s="38" t="s">
        <v>38</v>
      </c>
      <c r="BO70" s="38" t="s">
        <v>38</v>
      </c>
      <c r="BP70" s="38" t="s">
        <v>38</v>
      </c>
      <c r="BQ70" s="38">
        <v>0.1245</v>
      </c>
      <c r="BR70" s="41">
        <v>0.161</v>
      </c>
      <c r="BS70" s="41">
        <v>0.11</v>
      </c>
      <c r="BT70" s="41">
        <v>0.1105</v>
      </c>
      <c r="BU70" s="42">
        <v>0.123</v>
      </c>
      <c r="BV70" s="38" t="s">
        <v>38</v>
      </c>
      <c r="BW70" s="42" t="s">
        <v>38</v>
      </c>
      <c r="BX70" s="41" t="s">
        <v>38</v>
      </c>
      <c r="BY70" s="85">
        <f>(0.259+0.262)/2</f>
        <v>0.26050000000000001</v>
      </c>
      <c r="BZ70" s="85">
        <f>(0.326+0.332)/2</f>
        <v>0.32900000000000001</v>
      </c>
      <c r="CA70" s="89">
        <v>0.2515</v>
      </c>
    </row>
    <row r="71" spans="1:79">
      <c r="A71" s="21">
        <v>54</v>
      </c>
      <c r="B71" s="82">
        <v>254459.10776799999</v>
      </c>
      <c r="C71" s="82">
        <v>4505704.5320499996</v>
      </c>
      <c r="D71" s="19" t="s">
        <v>38</v>
      </c>
      <c r="E71" s="19" t="s">
        <v>38</v>
      </c>
      <c r="F71" s="19" t="s">
        <v>38</v>
      </c>
      <c r="G71" s="19" t="s">
        <v>38</v>
      </c>
      <c r="H71" s="19" t="s">
        <v>38</v>
      </c>
      <c r="I71" s="19" t="s">
        <v>38</v>
      </c>
      <c r="J71" s="19" t="s">
        <v>38</v>
      </c>
      <c r="K71" s="19" t="s">
        <v>38</v>
      </c>
      <c r="L71" s="19" t="s">
        <v>38</v>
      </c>
      <c r="M71" s="19" t="s">
        <v>38</v>
      </c>
      <c r="N71" s="23" t="s">
        <v>38</v>
      </c>
      <c r="O71" s="23" t="s">
        <v>38</v>
      </c>
      <c r="P71" s="23" t="s">
        <v>38</v>
      </c>
      <c r="Q71" s="16" t="s">
        <v>38</v>
      </c>
      <c r="R71" s="23" t="s">
        <v>38</v>
      </c>
      <c r="S71" s="23" t="s">
        <v>38</v>
      </c>
      <c r="T71" s="23" t="s">
        <v>38</v>
      </c>
      <c r="U71" s="23" t="s">
        <v>38</v>
      </c>
      <c r="V71" s="23" t="s">
        <v>38</v>
      </c>
      <c r="W71" s="23" t="s">
        <v>38</v>
      </c>
      <c r="X71" s="23" t="s">
        <v>38</v>
      </c>
      <c r="Y71" s="23" t="s">
        <v>38</v>
      </c>
      <c r="Z71" s="23" t="s">
        <v>38</v>
      </c>
      <c r="AA71" s="23" t="s">
        <v>38</v>
      </c>
      <c r="AB71" s="23" t="s">
        <v>38</v>
      </c>
      <c r="AC71" s="36" t="s">
        <v>38</v>
      </c>
      <c r="AD71" s="36">
        <v>0.26600000000000001</v>
      </c>
      <c r="AE71" s="36">
        <v>0.23400000000000001</v>
      </c>
      <c r="AF71" s="36" t="s">
        <v>38</v>
      </c>
      <c r="AG71" s="36" t="s">
        <v>38</v>
      </c>
      <c r="AH71" s="36">
        <v>0.159</v>
      </c>
      <c r="AI71" s="36" t="s">
        <v>38</v>
      </c>
      <c r="AJ71" s="36" t="s">
        <v>38</v>
      </c>
      <c r="AK71" s="36" t="s">
        <v>38</v>
      </c>
      <c r="AL71" s="36" t="s">
        <v>38</v>
      </c>
      <c r="AM71" s="36" t="s">
        <v>38</v>
      </c>
      <c r="AN71" s="36" t="s">
        <v>38</v>
      </c>
      <c r="AO71" s="36">
        <v>0.247</v>
      </c>
      <c r="AP71" s="36" t="s">
        <v>38</v>
      </c>
      <c r="AQ71" s="36" t="s">
        <v>38</v>
      </c>
      <c r="AR71" s="36" t="s">
        <v>38</v>
      </c>
      <c r="AS71" s="36">
        <v>0.17199999999999999</v>
      </c>
      <c r="AT71" s="36" t="s">
        <v>38</v>
      </c>
      <c r="AU71" s="36">
        <v>0.151</v>
      </c>
      <c r="AV71" s="36" t="s">
        <v>38</v>
      </c>
      <c r="AW71" s="36" t="s">
        <v>38</v>
      </c>
      <c r="AX71" s="36">
        <v>0.152</v>
      </c>
      <c r="AY71" s="36">
        <v>0.19700000000000001</v>
      </c>
      <c r="AZ71" s="36">
        <v>0.14399999999999999</v>
      </c>
      <c r="BA71" s="36">
        <v>0.154</v>
      </c>
      <c r="BB71" s="37" t="s">
        <v>38</v>
      </c>
      <c r="BC71" s="36" t="s">
        <v>38</v>
      </c>
      <c r="BD71" s="37">
        <v>0.29849999999999999</v>
      </c>
      <c r="BE71" s="37" t="s">
        <v>38</v>
      </c>
      <c r="BF71" s="37" t="s">
        <v>38</v>
      </c>
      <c r="BG71" s="36">
        <v>0.26350000000000001</v>
      </c>
      <c r="BH71" s="38" t="s">
        <v>38</v>
      </c>
      <c r="BI71" s="38" t="s">
        <v>38</v>
      </c>
      <c r="BJ71" s="38" t="s">
        <v>38</v>
      </c>
      <c r="BK71" s="38" t="s">
        <v>38</v>
      </c>
      <c r="BL71" s="38" t="s">
        <v>38</v>
      </c>
      <c r="BM71" s="38" t="s">
        <v>38</v>
      </c>
      <c r="BN71" s="38" t="s">
        <v>38</v>
      </c>
      <c r="BO71" s="38" t="s">
        <v>38</v>
      </c>
      <c r="BP71" s="38" t="s">
        <v>38</v>
      </c>
      <c r="BQ71" s="38" t="s">
        <v>38</v>
      </c>
      <c r="BR71" s="38" t="s">
        <v>38</v>
      </c>
      <c r="BS71" s="38" t="s">
        <v>38</v>
      </c>
      <c r="BT71" s="38" t="s">
        <v>38</v>
      </c>
      <c r="BU71" s="38" t="s">
        <v>38</v>
      </c>
      <c r="BV71" s="38" t="s">
        <v>38</v>
      </c>
      <c r="BW71" s="38" t="s">
        <v>38</v>
      </c>
      <c r="BX71" s="41" t="s">
        <v>38</v>
      </c>
      <c r="BY71" s="69" t="s">
        <v>38</v>
      </c>
      <c r="BZ71" s="69" t="s">
        <v>38</v>
      </c>
      <c r="CA71" s="76" t="s">
        <v>38</v>
      </c>
    </row>
    <row r="72" spans="1:79">
      <c r="A72" s="21">
        <v>55</v>
      </c>
      <c r="B72" s="82">
        <v>254464.43786400001</v>
      </c>
      <c r="C72" s="82">
        <v>4505623.9690100001</v>
      </c>
      <c r="D72" s="19">
        <v>0.24049999999999999</v>
      </c>
      <c r="E72" s="19">
        <v>0.22850000000000001</v>
      </c>
      <c r="F72" s="19">
        <v>0.23599999999999999</v>
      </c>
      <c r="G72" s="19">
        <v>0.2485</v>
      </c>
      <c r="H72" s="19">
        <v>0.23749999999999999</v>
      </c>
      <c r="I72" s="19">
        <v>0.18149999999999999</v>
      </c>
      <c r="J72" s="19">
        <v>0.15</v>
      </c>
      <c r="K72" s="19">
        <v>0.1075</v>
      </c>
      <c r="L72" s="19" t="s">
        <v>38</v>
      </c>
      <c r="M72" s="19" t="s">
        <v>38</v>
      </c>
      <c r="N72" s="23" t="s">
        <v>38</v>
      </c>
      <c r="O72" s="23" t="s">
        <v>38</v>
      </c>
      <c r="P72" s="23" t="s">
        <v>38</v>
      </c>
      <c r="Q72" s="16" t="s">
        <v>38</v>
      </c>
      <c r="R72" s="23" t="s">
        <v>38</v>
      </c>
      <c r="S72" s="23" t="s">
        <v>38</v>
      </c>
      <c r="T72" s="36">
        <v>0.21</v>
      </c>
      <c r="U72" s="36">
        <v>0.21199999999999999</v>
      </c>
      <c r="V72" s="23" t="s">
        <v>38</v>
      </c>
      <c r="W72" s="36">
        <v>0.21099999999999999</v>
      </c>
      <c r="X72" s="36">
        <v>0.192</v>
      </c>
      <c r="Y72" s="36">
        <v>0.189</v>
      </c>
      <c r="Z72" s="36">
        <v>0.23300000000000001</v>
      </c>
      <c r="AA72" s="36">
        <v>0.23899999999999999</v>
      </c>
      <c r="AB72" s="36">
        <v>0.28100000000000003</v>
      </c>
      <c r="AC72" s="36">
        <v>0.23400000000000001</v>
      </c>
      <c r="AD72" s="36">
        <v>0.23899999999999999</v>
      </c>
      <c r="AE72" s="36">
        <v>0.20599999999999999</v>
      </c>
      <c r="AF72" s="36">
        <v>0.16</v>
      </c>
      <c r="AG72" s="36">
        <v>0.158</v>
      </c>
      <c r="AH72" s="36">
        <v>0.13400000000000001</v>
      </c>
      <c r="AI72" s="36">
        <v>0.14399999999999999</v>
      </c>
      <c r="AJ72" s="36">
        <v>0.124</v>
      </c>
      <c r="AK72" s="36">
        <v>0.124</v>
      </c>
      <c r="AL72" s="36">
        <v>0.20899999999999999</v>
      </c>
      <c r="AM72" s="36">
        <v>0.22900000000000001</v>
      </c>
      <c r="AN72" s="36">
        <v>0.19900000000000001</v>
      </c>
      <c r="AO72" s="36">
        <v>0.16400000000000001</v>
      </c>
      <c r="AP72" s="36">
        <v>0.23799999999999999</v>
      </c>
      <c r="AQ72" s="36">
        <v>0.191</v>
      </c>
      <c r="AR72" s="36">
        <v>0.17399999999999999</v>
      </c>
      <c r="AS72" s="36">
        <v>0.16800000000000001</v>
      </c>
      <c r="AT72" s="36">
        <v>0.16700000000000001</v>
      </c>
      <c r="AU72" s="36">
        <v>0.14399999999999999</v>
      </c>
      <c r="AV72" s="36">
        <v>0.129</v>
      </c>
      <c r="AW72" s="36">
        <v>0.10299999999999999</v>
      </c>
      <c r="AX72" s="36">
        <v>0.115</v>
      </c>
      <c r="AY72" s="36">
        <v>0.121</v>
      </c>
      <c r="AZ72" s="36">
        <v>0.114</v>
      </c>
      <c r="BA72" s="36">
        <v>0.2</v>
      </c>
      <c r="BB72" s="37">
        <v>0.1085</v>
      </c>
      <c r="BC72" s="36">
        <v>0.154</v>
      </c>
      <c r="BD72" s="37">
        <v>0.17499999999999999</v>
      </c>
      <c r="BE72" s="37">
        <v>0.17949999999999999</v>
      </c>
      <c r="BF72" s="37">
        <v>9.1499999999999998E-2</v>
      </c>
      <c r="BG72" s="36">
        <v>0.1865</v>
      </c>
      <c r="BH72" s="38">
        <v>0.20250000000000001</v>
      </c>
      <c r="BI72" s="38">
        <v>0.22700000000000001</v>
      </c>
      <c r="BJ72" s="38">
        <v>0.217</v>
      </c>
      <c r="BK72" s="38">
        <v>0.20400000000000001</v>
      </c>
      <c r="BL72" s="38">
        <v>0.20899999999999999</v>
      </c>
      <c r="BM72" s="38">
        <v>0.22450000000000001</v>
      </c>
      <c r="BN72" s="38" t="s">
        <v>38</v>
      </c>
      <c r="BO72" s="40">
        <v>0.23050000000000001</v>
      </c>
      <c r="BP72" s="38">
        <v>0.23549999999999999</v>
      </c>
      <c r="BQ72" s="38">
        <v>0.1545</v>
      </c>
      <c r="BR72" s="41">
        <v>0.17549999999999999</v>
      </c>
      <c r="BS72" s="41">
        <v>0.15049999999999999</v>
      </c>
      <c r="BT72" s="41">
        <v>0.14649999999999999</v>
      </c>
      <c r="BU72" s="42">
        <v>0.14349999999999999</v>
      </c>
      <c r="BV72" s="41">
        <v>0.109</v>
      </c>
      <c r="BW72" s="42" t="s">
        <v>38</v>
      </c>
      <c r="BX72" s="41" t="s">
        <v>38</v>
      </c>
      <c r="BY72" s="85">
        <f>(0.245+0.248)/2</f>
        <v>0.2465</v>
      </c>
      <c r="BZ72" s="85">
        <f>(0.34+0.329)/2</f>
        <v>0.33450000000000002</v>
      </c>
      <c r="CA72" s="89">
        <v>0.2505</v>
      </c>
    </row>
    <row r="73" spans="1:79">
      <c r="A73" s="21" t="s">
        <v>22</v>
      </c>
      <c r="B73" s="82">
        <v>254465.50736700001</v>
      </c>
      <c r="C73" s="82">
        <v>4505625.0454799999</v>
      </c>
      <c r="D73" s="19">
        <v>0.22650000000000001</v>
      </c>
      <c r="E73" s="19">
        <v>0.218</v>
      </c>
      <c r="F73" s="19">
        <v>0.221</v>
      </c>
      <c r="G73" s="19">
        <v>0.23149999999999998</v>
      </c>
      <c r="H73" s="19">
        <v>0.2205</v>
      </c>
      <c r="I73" s="19">
        <v>0.1545</v>
      </c>
      <c r="J73" s="19">
        <v>0.1255</v>
      </c>
      <c r="K73" s="19">
        <v>8.4500000000000006E-2</v>
      </c>
      <c r="L73" s="19">
        <v>0.14000000000000001</v>
      </c>
      <c r="M73" s="19">
        <v>7.1000000000000008E-2</v>
      </c>
      <c r="N73" s="16">
        <v>0.11649999999999999</v>
      </c>
      <c r="O73" s="16">
        <v>6.0499999999999998E-2</v>
      </c>
      <c r="P73" s="16">
        <v>7.8E-2</v>
      </c>
      <c r="Q73" s="16">
        <v>0.13850000000000001</v>
      </c>
      <c r="R73" s="16">
        <v>0.159</v>
      </c>
      <c r="S73" s="16" t="s">
        <v>38</v>
      </c>
      <c r="T73" s="36">
        <v>0.21199999999999999</v>
      </c>
      <c r="U73" s="36">
        <v>0.22600000000000001</v>
      </c>
      <c r="V73" s="23" t="s">
        <v>38</v>
      </c>
      <c r="W73" s="36">
        <v>0.222</v>
      </c>
      <c r="X73" s="36">
        <v>0.16</v>
      </c>
      <c r="Y73" s="36" t="s">
        <v>38</v>
      </c>
      <c r="Z73" s="36">
        <v>0.19</v>
      </c>
      <c r="AA73" s="36">
        <v>0.21099999999999999</v>
      </c>
      <c r="AB73" s="36" t="s">
        <v>38</v>
      </c>
      <c r="AC73" s="36">
        <v>0.20100000000000001</v>
      </c>
      <c r="AD73" s="36">
        <v>0.19400000000000001</v>
      </c>
      <c r="AE73" s="36" t="s">
        <v>38</v>
      </c>
      <c r="AF73" s="36">
        <v>0.14799999999999999</v>
      </c>
      <c r="AG73" s="36">
        <v>0.16800000000000001</v>
      </c>
      <c r="AH73" s="36">
        <v>0.10199999999999999</v>
      </c>
      <c r="AI73" s="36" t="s">
        <v>38</v>
      </c>
      <c r="AJ73" s="36" t="s">
        <v>38</v>
      </c>
      <c r="AK73" s="36">
        <v>0.109</v>
      </c>
      <c r="AL73" s="36">
        <v>0.246</v>
      </c>
      <c r="AM73" s="36">
        <v>0.28100000000000003</v>
      </c>
      <c r="AN73" s="36">
        <v>0.17499999999999999</v>
      </c>
      <c r="AO73" s="36" t="s">
        <v>38</v>
      </c>
      <c r="AP73" s="36" t="s">
        <v>38</v>
      </c>
      <c r="AQ73" s="36">
        <v>0.17100000000000001</v>
      </c>
      <c r="AR73" s="36" t="s">
        <v>38</v>
      </c>
      <c r="AS73" s="36">
        <v>0.14399999999999999</v>
      </c>
      <c r="AT73" s="36" t="s">
        <v>38</v>
      </c>
      <c r="AU73" s="36">
        <v>0.129</v>
      </c>
      <c r="AV73" s="36" t="s">
        <v>38</v>
      </c>
      <c r="AW73" s="36" t="s">
        <v>38</v>
      </c>
      <c r="AX73" s="36" t="s">
        <v>38</v>
      </c>
      <c r="AY73" s="36">
        <v>0.14199999999999999</v>
      </c>
      <c r="AZ73" s="36">
        <v>0.11899999999999999</v>
      </c>
      <c r="BA73" s="36">
        <v>0.13800000000000001</v>
      </c>
      <c r="BB73" s="37">
        <v>0.12</v>
      </c>
      <c r="BC73" s="36">
        <v>0.16350000000000001</v>
      </c>
      <c r="BD73" s="37" t="s">
        <v>38</v>
      </c>
      <c r="BE73" s="37">
        <v>0.21149999999999999</v>
      </c>
      <c r="BF73" s="37">
        <v>0.11599999999999999</v>
      </c>
      <c r="BG73" s="36">
        <v>0.19550000000000001</v>
      </c>
      <c r="BH73" s="38" t="s">
        <v>38</v>
      </c>
      <c r="BI73" s="38" t="s">
        <v>38</v>
      </c>
      <c r="BJ73" s="38" t="s">
        <v>38</v>
      </c>
      <c r="BK73" s="38">
        <v>0.186</v>
      </c>
      <c r="BL73" s="38" t="s">
        <v>38</v>
      </c>
      <c r="BM73" s="38" t="s">
        <v>38</v>
      </c>
      <c r="BN73" s="38" t="s">
        <v>38</v>
      </c>
      <c r="BO73" s="38" t="s">
        <v>38</v>
      </c>
      <c r="BP73" s="38" t="s">
        <v>38</v>
      </c>
      <c r="BQ73" s="38">
        <v>0.128</v>
      </c>
      <c r="BR73" s="41">
        <v>0.1565</v>
      </c>
      <c r="BS73" s="41">
        <v>0.1295</v>
      </c>
      <c r="BT73" s="41">
        <v>0.121</v>
      </c>
      <c r="BU73" s="42">
        <v>0.13850000000000001</v>
      </c>
      <c r="BV73" s="41" t="s">
        <v>38</v>
      </c>
      <c r="BW73" s="42">
        <v>0.1855</v>
      </c>
      <c r="BX73" s="41" t="s">
        <v>38</v>
      </c>
      <c r="BY73" s="85">
        <f>(0.238+0.248)/2</f>
        <v>0.24299999999999999</v>
      </c>
      <c r="BZ73" s="85">
        <f>(0.321+0.3)/2</f>
        <v>0.3105</v>
      </c>
      <c r="CA73" s="89">
        <v>0.25</v>
      </c>
    </row>
    <row r="74" spans="1:79">
      <c r="A74" s="21" t="s">
        <v>23</v>
      </c>
      <c r="B74" s="82">
        <v>254465.36725000001</v>
      </c>
      <c r="C74" s="82">
        <v>4505622.9550599996</v>
      </c>
      <c r="D74" s="19">
        <v>0.28000000000000003</v>
      </c>
      <c r="E74" s="19">
        <v>0.26600000000000001</v>
      </c>
      <c r="F74" s="19">
        <v>0.26950000000000002</v>
      </c>
      <c r="G74" s="19">
        <v>0.27250000000000002</v>
      </c>
      <c r="H74" s="19">
        <v>0.24049999999999999</v>
      </c>
      <c r="I74" s="19">
        <v>0.17199999999999999</v>
      </c>
      <c r="J74" s="19">
        <v>0.14450000000000002</v>
      </c>
      <c r="K74" s="19">
        <v>9.1999999999999998E-2</v>
      </c>
      <c r="L74" s="19">
        <v>0.16400000000000001</v>
      </c>
      <c r="M74" s="19">
        <v>6.9000000000000006E-2</v>
      </c>
      <c r="N74" s="16">
        <v>0.122</v>
      </c>
      <c r="O74" s="16">
        <v>7.2000000000000008E-2</v>
      </c>
      <c r="P74" s="23" t="s">
        <v>38</v>
      </c>
      <c r="Q74" s="16">
        <v>0.1205</v>
      </c>
      <c r="R74" s="16" t="s">
        <v>38</v>
      </c>
      <c r="S74" s="16">
        <v>0.115</v>
      </c>
      <c r="T74" s="36">
        <v>0.28199999999999997</v>
      </c>
      <c r="U74" s="36">
        <v>0.28699999999999998</v>
      </c>
      <c r="V74" s="23" t="s">
        <v>38</v>
      </c>
      <c r="W74" s="36">
        <v>0.28699999999999998</v>
      </c>
      <c r="X74" s="36">
        <v>0.22</v>
      </c>
      <c r="Y74" s="36" t="s">
        <v>38</v>
      </c>
      <c r="Z74" s="36">
        <v>0.28299999999999997</v>
      </c>
      <c r="AA74" s="36">
        <v>0.27800000000000002</v>
      </c>
      <c r="AB74" s="36" t="s">
        <v>38</v>
      </c>
      <c r="AC74" s="36">
        <v>0.20499999999999999</v>
      </c>
      <c r="AD74" s="36">
        <v>0.27100000000000002</v>
      </c>
      <c r="AE74" s="36" t="s">
        <v>38</v>
      </c>
      <c r="AF74" s="36">
        <v>0.13400000000000001</v>
      </c>
      <c r="AG74" s="36">
        <v>0.17799999999999999</v>
      </c>
      <c r="AH74" s="36">
        <v>0.123</v>
      </c>
      <c r="AI74" s="36" t="s">
        <v>38</v>
      </c>
      <c r="AJ74" s="36" t="s">
        <v>38</v>
      </c>
      <c r="AK74" s="36">
        <v>0.13700000000000001</v>
      </c>
      <c r="AL74" s="36">
        <v>0.27200000000000002</v>
      </c>
      <c r="AM74" s="36">
        <v>0.29899999999999999</v>
      </c>
      <c r="AN74" s="36">
        <v>0.217</v>
      </c>
      <c r="AO74" s="36" t="s">
        <v>38</v>
      </c>
      <c r="AP74" s="36" t="s">
        <v>38</v>
      </c>
      <c r="AQ74" s="36">
        <v>0.17599999999999999</v>
      </c>
      <c r="AR74" s="36" t="s">
        <v>38</v>
      </c>
      <c r="AS74" s="36">
        <v>0.16300000000000001</v>
      </c>
      <c r="AT74" s="36" t="s">
        <v>38</v>
      </c>
      <c r="AU74" s="36">
        <v>0.14299999999999999</v>
      </c>
      <c r="AV74" s="36" t="s">
        <v>38</v>
      </c>
      <c r="AW74" s="36" t="s">
        <v>38</v>
      </c>
      <c r="AX74" s="36" t="s">
        <v>38</v>
      </c>
      <c r="AY74" s="36">
        <v>0.158</v>
      </c>
      <c r="AZ74" s="36">
        <v>0.14000000000000001</v>
      </c>
      <c r="BA74" s="36">
        <v>0.14699999999999999</v>
      </c>
      <c r="BB74" s="37">
        <v>9.0499999999999997E-2</v>
      </c>
      <c r="BC74" s="36">
        <v>0.16450000000000001</v>
      </c>
      <c r="BD74" s="37">
        <v>0.17649999999999999</v>
      </c>
      <c r="BE74" s="37">
        <v>9.1499999999999998E-2</v>
      </c>
      <c r="BF74" s="37">
        <v>5.8500000000000003E-2</v>
      </c>
      <c r="BG74" s="36">
        <v>0.184</v>
      </c>
      <c r="BH74" s="38" t="s">
        <v>38</v>
      </c>
      <c r="BI74" s="38" t="s">
        <v>38</v>
      </c>
      <c r="BJ74" s="38" t="s">
        <v>38</v>
      </c>
      <c r="BK74" s="38">
        <v>0.23899999999999999</v>
      </c>
      <c r="BL74" s="38" t="s">
        <v>38</v>
      </c>
      <c r="BM74" s="38" t="s">
        <v>38</v>
      </c>
      <c r="BN74" s="38" t="s">
        <v>38</v>
      </c>
      <c r="BO74" s="38" t="s">
        <v>38</v>
      </c>
      <c r="BP74" s="38" t="s">
        <v>38</v>
      </c>
      <c r="BQ74" s="38">
        <v>0.13900000000000001</v>
      </c>
      <c r="BR74" s="41">
        <v>0.16750000000000001</v>
      </c>
      <c r="BS74" s="41">
        <v>0.1285</v>
      </c>
      <c r="BT74" s="41">
        <v>0.13250000000000001</v>
      </c>
      <c r="BU74" s="42">
        <v>0.14499999999999999</v>
      </c>
      <c r="BV74" s="41" t="s">
        <v>38</v>
      </c>
      <c r="BW74" s="42" t="s">
        <v>38</v>
      </c>
      <c r="BX74" s="41" t="s">
        <v>38</v>
      </c>
      <c r="BY74" s="85">
        <f>(0.261+0.242)/2</f>
        <v>0.2515</v>
      </c>
      <c r="BZ74" s="85">
        <f>(0.34+0.362)/2</f>
        <v>0.35099999999999998</v>
      </c>
      <c r="CA74" s="89">
        <v>0.2525</v>
      </c>
    </row>
    <row r="75" spans="1:79">
      <c r="A75" s="21" t="s">
        <v>24</v>
      </c>
      <c r="B75" s="82">
        <v>254463.46215599999</v>
      </c>
      <c r="C75" s="82">
        <v>4505623.0080000004</v>
      </c>
      <c r="D75" s="19">
        <v>0.23449999999999999</v>
      </c>
      <c r="E75" s="19">
        <v>0.221</v>
      </c>
      <c r="F75" s="19">
        <v>0.23799999999999999</v>
      </c>
      <c r="G75" s="19">
        <v>0.24199999999999999</v>
      </c>
      <c r="H75" s="19">
        <v>0.22900000000000001</v>
      </c>
      <c r="I75" s="19">
        <v>0.16599999999999998</v>
      </c>
      <c r="J75" s="19">
        <v>0.14400000000000002</v>
      </c>
      <c r="K75" s="19">
        <v>8.7999999999999995E-2</v>
      </c>
      <c r="L75" s="19">
        <v>0.109</v>
      </c>
      <c r="M75" s="19">
        <v>9.1999999999999998E-2</v>
      </c>
      <c r="N75" s="16">
        <v>0.13300000000000001</v>
      </c>
      <c r="O75" s="16">
        <v>0.08</v>
      </c>
      <c r="P75" s="23" t="s">
        <v>38</v>
      </c>
      <c r="Q75" s="16">
        <v>0.13800000000000001</v>
      </c>
      <c r="R75" s="16" t="s">
        <v>38</v>
      </c>
      <c r="S75" s="16" t="s">
        <v>38</v>
      </c>
      <c r="T75" s="36">
        <v>0.26300000000000001</v>
      </c>
      <c r="U75" s="36">
        <v>0.27300000000000002</v>
      </c>
      <c r="V75" s="23" t="s">
        <v>38</v>
      </c>
      <c r="W75" s="36">
        <v>0.28199999999999997</v>
      </c>
      <c r="X75" s="36">
        <v>0.21</v>
      </c>
      <c r="Y75" s="36" t="s">
        <v>38</v>
      </c>
      <c r="Z75" s="36">
        <v>0.216</v>
      </c>
      <c r="AA75" s="36">
        <v>0.22900000000000001</v>
      </c>
      <c r="AB75" s="36" t="s">
        <v>38</v>
      </c>
      <c r="AC75" s="36">
        <v>0.24299999999999999</v>
      </c>
      <c r="AD75" s="36">
        <v>0.246</v>
      </c>
      <c r="AE75" s="36" t="s">
        <v>38</v>
      </c>
      <c r="AF75" s="36">
        <v>0.151</v>
      </c>
      <c r="AG75" s="36">
        <v>0.17299999999999999</v>
      </c>
      <c r="AH75" s="36">
        <v>0.123</v>
      </c>
      <c r="AI75" s="36" t="s">
        <v>38</v>
      </c>
      <c r="AJ75" s="36" t="s">
        <v>38</v>
      </c>
      <c r="AK75" s="36">
        <v>0.14299999999999999</v>
      </c>
      <c r="AL75" s="36">
        <v>0.28100000000000003</v>
      </c>
      <c r="AM75" s="36">
        <v>0.32100000000000001</v>
      </c>
      <c r="AN75" s="36">
        <v>0.19400000000000001</v>
      </c>
      <c r="AO75" s="36" t="s">
        <v>38</v>
      </c>
      <c r="AP75" s="36" t="s">
        <v>38</v>
      </c>
      <c r="AQ75" s="36">
        <v>0.18</v>
      </c>
      <c r="AR75" s="36" t="s">
        <v>38</v>
      </c>
      <c r="AS75" s="36">
        <v>0.158</v>
      </c>
      <c r="AT75" s="36" t="s">
        <v>38</v>
      </c>
      <c r="AU75" s="36">
        <v>0.13300000000000001</v>
      </c>
      <c r="AV75" s="36" t="s">
        <v>38</v>
      </c>
      <c r="AW75" s="36" t="s">
        <v>38</v>
      </c>
      <c r="AX75" s="36" t="s">
        <v>38</v>
      </c>
      <c r="AY75" s="36">
        <v>0.221</v>
      </c>
      <c r="AZ75" s="36">
        <v>0.19500000000000001</v>
      </c>
      <c r="BA75" s="36">
        <v>0.155</v>
      </c>
      <c r="BB75" s="37">
        <v>9.5000000000000001E-2</v>
      </c>
      <c r="BC75" s="36">
        <v>0.1545</v>
      </c>
      <c r="BD75" s="37">
        <v>0.14649999999999999</v>
      </c>
      <c r="BE75" s="37">
        <v>0.1555</v>
      </c>
      <c r="BF75" s="37">
        <v>7.6499999999999999E-2</v>
      </c>
      <c r="BG75" s="36">
        <v>0.17349999999999999</v>
      </c>
      <c r="BH75" s="38" t="s">
        <v>38</v>
      </c>
      <c r="BI75" s="38" t="s">
        <v>38</v>
      </c>
      <c r="BJ75" s="38" t="s">
        <v>38</v>
      </c>
      <c r="BK75" s="38">
        <v>0.20350000000000001</v>
      </c>
      <c r="BL75" s="38" t="s">
        <v>38</v>
      </c>
      <c r="BM75" s="38" t="s">
        <v>38</v>
      </c>
      <c r="BN75" s="38" t="s">
        <v>38</v>
      </c>
      <c r="BO75" s="38" t="s">
        <v>38</v>
      </c>
      <c r="BP75" s="38" t="s">
        <v>38</v>
      </c>
      <c r="BQ75" s="38">
        <v>0.1265</v>
      </c>
      <c r="BR75" s="41">
        <v>0.14899999999999999</v>
      </c>
      <c r="BS75" s="41">
        <v>0.13350000000000001</v>
      </c>
      <c r="BT75" s="41">
        <v>0.1275</v>
      </c>
      <c r="BU75" s="42">
        <v>0.1525</v>
      </c>
      <c r="BV75" s="41" t="s">
        <v>38</v>
      </c>
      <c r="BW75" s="42" t="s">
        <v>38</v>
      </c>
      <c r="BX75" s="41" t="s">
        <v>38</v>
      </c>
      <c r="BY75" s="85">
        <f>(0.267+0.268)/2</f>
        <v>0.26750000000000002</v>
      </c>
      <c r="BZ75" s="85">
        <f>(0.364+0.339)/2</f>
        <v>0.35150000000000003</v>
      </c>
      <c r="CA75" s="89">
        <v>0.249</v>
      </c>
    </row>
    <row r="76" spans="1:79">
      <c r="A76" s="21" t="s">
        <v>25</v>
      </c>
      <c r="B76" s="82">
        <v>254463.55436400001</v>
      </c>
      <c r="C76" s="82">
        <v>4505624.7253999999</v>
      </c>
      <c r="D76" s="19">
        <v>0.25750000000000001</v>
      </c>
      <c r="E76" s="19">
        <v>0.23749999999999999</v>
      </c>
      <c r="F76" s="19">
        <v>0.26950000000000002</v>
      </c>
      <c r="G76" s="19">
        <v>0.25900000000000001</v>
      </c>
      <c r="H76" s="19">
        <v>0.2535</v>
      </c>
      <c r="I76" s="19">
        <v>0.1865</v>
      </c>
      <c r="J76" s="19">
        <v>0.14949999999999999</v>
      </c>
      <c r="K76" s="19">
        <v>9.6500000000000002E-2</v>
      </c>
      <c r="L76" s="19">
        <v>0.13700000000000001</v>
      </c>
      <c r="M76" s="19">
        <v>8.4499999999999992E-2</v>
      </c>
      <c r="N76" s="16">
        <v>0.1525</v>
      </c>
      <c r="O76" s="16">
        <v>7.6500000000000012E-2</v>
      </c>
      <c r="P76" s="23" t="s">
        <v>38</v>
      </c>
      <c r="Q76" s="16">
        <v>0.16900000000000001</v>
      </c>
      <c r="R76" s="16" t="s">
        <v>38</v>
      </c>
      <c r="S76" s="16" t="s">
        <v>38</v>
      </c>
      <c r="T76" s="36">
        <v>0.25</v>
      </c>
      <c r="U76" s="36">
        <v>0.27500000000000002</v>
      </c>
      <c r="V76" s="23" t="s">
        <v>38</v>
      </c>
      <c r="W76" s="36">
        <v>0.3</v>
      </c>
      <c r="X76" s="36">
        <v>0.23</v>
      </c>
      <c r="Y76" s="36" t="s">
        <v>38</v>
      </c>
      <c r="Z76" s="36">
        <v>0.27600000000000002</v>
      </c>
      <c r="AA76" s="36">
        <v>0.25900000000000001</v>
      </c>
      <c r="AB76" s="36" t="s">
        <v>38</v>
      </c>
      <c r="AC76" s="36">
        <v>0.25900000000000001</v>
      </c>
      <c r="AD76" s="36">
        <v>0.26100000000000001</v>
      </c>
      <c r="AE76" s="36" t="s">
        <v>38</v>
      </c>
      <c r="AF76" s="36">
        <v>0.153</v>
      </c>
      <c r="AG76" s="36">
        <v>0.14499999999999999</v>
      </c>
      <c r="AH76" s="36">
        <v>0.12</v>
      </c>
      <c r="AI76" s="36" t="s">
        <v>38</v>
      </c>
      <c r="AJ76" s="36" t="s">
        <v>38</v>
      </c>
      <c r="AK76" s="36">
        <v>0.127</v>
      </c>
      <c r="AL76" s="36">
        <v>0.249</v>
      </c>
      <c r="AM76" s="36">
        <v>0.27700000000000002</v>
      </c>
      <c r="AN76" s="36">
        <v>0.215</v>
      </c>
      <c r="AO76" s="36" t="s">
        <v>38</v>
      </c>
      <c r="AP76" s="36" t="s">
        <v>38</v>
      </c>
      <c r="AQ76" s="36">
        <v>0.21099999999999999</v>
      </c>
      <c r="AR76" s="36" t="s">
        <v>38</v>
      </c>
      <c r="AS76" s="36">
        <v>0.16700000000000001</v>
      </c>
      <c r="AT76" s="36" t="s">
        <v>38</v>
      </c>
      <c r="AU76" s="36">
        <v>0.13100000000000001</v>
      </c>
      <c r="AV76" s="36" t="s">
        <v>38</v>
      </c>
      <c r="AW76" s="36" t="s">
        <v>38</v>
      </c>
      <c r="AX76" s="36" t="s">
        <v>38</v>
      </c>
      <c r="AY76" s="36">
        <v>0.20799999999999999</v>
      </c>
      <c r="AZ76" s="36">
        <v>0.188</v>
      </c>
      <c r="BA76" s="36">
        <v>0.224</v>
      </c>
      <c r="BB76" s="37">
        <v>0.10650000000000001</v>
      </c>
      <c r="BC76" s="36">
        <v>0.18049999999999999</v>
      </c>
      <c r="BD76" s="37">
        <v>0.185</v>
      </c>
      <c r="BE76" s="37">
        <v>0.13</v>
      </c>
      <c r="BF76" s="37">
        <v>9.2999999999999999E-2</v>
      </c>
      <c r="BG76" s="36">
        <v>0.23199999999999998</v>
      </c>
      <c r="BH76" s="38" t="s">
        <v>38</v>
      </c>
      <c r="BI76" s="38" t="s">
        <v>38</v>
      </c>
      <c r="BJ76" s="38" t="s">
        <v>38</v>
      </c>
      <c r="BK76" s="38">
        <v>0.222</v>
      </c>
      <c r="BL76" s="38" t="s">
        <v>38</v>
      </c>
      <c r="BM76" s="38" t="s">
        <v>38</v>
      </c>
      <c r="BN76" s="38" t="s">
        <v>38</v>
      </c>
      <c r="BO76" s="38" t="s">
        <v>38</v>
      </c>
      <c r="BP76" s="38" t="s">
        <v>38</v>
      </c>
      <c r="BQ76" s="38">
        <v>0.14799999999999999</v>
      </c>
      <c r="BR76" s="41">
        <v>0.17349999999999999</v>
      </c>
      <c r="BS76" s="41">
        <v>0.14399999999999999</v>
      </c>
      <c r="BT76" s="41">
        <v>0.13650000000000001</v>
      </c>
      <c r="BU76" s="42">
        <v>0.16350000000000001</v>
      </c>
      <c r="BV76" s="41" t="s">
        <v>38</v>
      </c>
      <c r="BW76" s="42" t="s">
        <v>38</v>
      </c>
      <c r="BX76" s="41" t="s">
        <v>38</v>
      </c>
      <c r="BY76" s="85">
        <f>(0.262+0.28)/2</f>
        <v>0.27100000000000002</v>
      </c>
      <c r="BZ76" s="85">
        <f>(0.344+0.347)/2</f>
        <v>0.34549999999999997</v>
      </c>
      <c r="CA76" s="89">
        <v>0.26150000000000001</v>
      </c>
    </row>
    <row r="77" spans="1:79">
      <c r="A77" s="21">
        <v>56</v>
      </c>
      <c r="B77" s="82">
        <v>254461.96097399999</v>
      </c>
      <c r="C77" s="82">
        <v>4505643.9971200004</v>
      </c>
      <c r="D77" s="19" t="s">
        <v>38</v>
      </c>
      <c r="E77" s="19" t="s">
        <v>38</v>
      </c>
      <c r="F77" s="19" t="s">
        <v>38</v>
      </c>
      <c r="G77" s="19" t="s">
        <v>38</v>
      </c>
      <c r="H77" s="19" t="s">
        <v>38</v>
      </c>
      <c r="I77" s="19" t="s">
        <v>38</v>
      </c>
      <c r="J77" s="19" t="s">
        <v>38</v>
      </c>
      <c r="K77" s="19" t="s">
        <v>38</v>
      </c>
      <c r="L77" s="19" t="s">
        <v>38</v>
      </c>
      <c r="M77" s="19" t="s">
        <v>38</v>
      </c>
      <c r="N77" s="23" t="s">
        <v>38</v>
      </c>
      <c r="O77" s="23" t="s">
        <v>38</v>
      </c>
      <c r="P77" s="23" t="s">
        <v>38</v>
      </c>
      <c r="Q77" s="23" t="s">
        <v>38</v>
      </c>
      <c r="R77" s="23" t="s">
        <v>38</v>
      </c>
      <c r="S77" s="23" t="s">
        <v>38</v>
      </c>
      <c r="T77" s="23" t="s">
        <v>38</v>
      </c>
      <c r="U77" s="23" t="s">
        <v>38</v>
      </c>
      <c r="V77" s="23" t="s">
        <v>38</v>
      </c>
      <c r="W77" s="23" t="s">
        <v>38</v>
      </c>
      <c r="X77" s="23" t="s">
        <v>38</v>
      </c>
      <c r="Y77" s="23" t="s">
        <v>38</v>
      </c>
      <c r="Z77" s="23" t="s">
        <v>38</v>
      </c>
      <c r="AA77" s="23" t="s">
        <v>38</v>
      </c>
      <c r="AB77" s="23" t="s">
        <v>38</v>
      </c>
      <c r="AC77" s="23" t="s">
        <v>38</v>
      </c>
      <c r="AD77" s="23" t="s">
        <v>38</v>
      </c>
      <c r="AE77" s="36" t="s">
        <v>38</v>
      </c>
      <c r="AF77" s="36" t="s">
        <v>38</v>
      </c>
      <c r="AG77" s="36" t="s">
        <v>38</v>
      </c>
      <c r="AH77" s="36" t="s">
        <v>38</v>
      </c>
      <c r="AI77" s="36" t="s">
        <v>38</v>
      </c>
      <c r="AJ77" s="36" t="s">
        <v>38</v>
      </c>
      <c r="AK77" s="36" t="s">
        <v>38</v>
      </c>
      <c r="AL77" s="36" t="s">
        <v>38</v>
      </c>
      <c r="AM77" s="36" t="s">
        <v>38</v>
      </c>
      <c r="AN77" s="36" t="s">
        <v>38</v>
      </c>
      <c r="AO77" s="36" t="s">
        <v>38</v>
      </c>
      <c r="AP77" s="36" t="s">
        <v>38</v>
      </c>
      <c r="AQ77" s="36" t="s">
        <v>38</v>
      </c>
      <c r="AR77" s="36" t="s">
        <v>38</v>
      </c>
      <c r="AS77" s="36" t="s">
        <v>38</v>
      </c>
      <c r="AT77" s="36" t="s">
        <v>38</v>
      </c>
      <c r="AU77" s="36" t="s">
        <v>38</v>
      </c>
      <c r="AV77" s="36" t="s">
        <v>38</v>
      </c>
      <c r="AW77" s="36" t="s">
        <v>38</v>
      </c>
      <c r="AX77" s="36" t="s">
        <v>38</v>
      </c>
      <c r="AY77" s="36" t="s">
        <v>38</v>
      </c>
      <c r="AZ77" s="36" t="s">
        <v>38</v>
      </c>
      <c r="BA77" s="36" t="s">
        <v>38</v>
      </c>
      <c r="BB77" s="36" t="s">
        <v>38</v>
      </c>
      <c r="BC77" s="36" t="s">
        <v>38</v>
      </c>
      <c r="BD77" s="36" t="s">
        <v>38</v>
      </c>
      <c r="BE77" s="36" t="s">
        <v>38</v>
      </c>
      <c r="BF77" s="36" t="s">
        <v>38</v>
      </c>
      <c r="BG77" s="36" t="s">
        <v>38</v>
      </c>
      <c r="BH77" s="39" t="s">
        <v>38</v>
      </c>
      <c r="BI77" s="39" t="s">
        <v>38</v>
      </c>
      <c r="BJ77" s="39" t="s">
        <v>38</v>
      </c>
      <c r="BK77" s="39" t="s">
        <v>38</v>
      </c>
      <c r="BL77" s="39" t="s">
        <v>38</v>
      </c>
      <c r="BM77" s="39" t="s">
        <v>38</v>
      </c>
      <c r="BN77" s="39" t="s">
        <v>38</v>
      </c>
      <c r="BO77" s="39" t="s">
        <v>38</v>
      </c>
      <c r="BP77" s="39" t="s">
        <v>38</v>
      </c>
      <c r="BQ77" s="39" t="s">
        <v>38</v>
      </c>
      <c r="BR77" s="39" t="s">
        <v>38</v>
      </c>
      <c r="BS77" s="39" t="s">
        <v>38</v>
      </c>
      <c r="BT77" s="39" t="s">
        <v>38</v>
      </c>
      <c r="BU77" s="39" t="s">
        <v>38</v>
      </c>
      <c r="BV77" s="39" t="s">
        <v>38</v>
      </c>
      <c r="BW77" s="42" t="s">
        <v>38</v>
      </c>
      <c r="BX77" s="41" t="s">
        <v>38</v>
      </c>
      <c r="BY77" s="69" t="s">
        <v>38</v>
      </c>
      <c r="BZ77" s="69" t="s">
        <v>38</v>
      </c>
      <c r="CA77" s="76" t="s">
        <v>38</v>
      </c>
    </row>
    <row r="78" spans="1:79">
      <c r="A78" s="21">
        <v>57</v>
      </c>
      <c r="B78" s="83">
        <v>254450.62839500001</v>
      </c>
      <c r="C78" s="83">
        <v>4505644.3176199999</v>
      </c>
      <c r="D78" s="19" t="s">
        <v>38</v>
      </c>
      <c r="E78" s="19" t="s">
        <v>38</v>
      </c>
      <c r="F78" s="19" t="s">
        <v>38</v>
      </c>
      <c r="G78" s="19" t="s">
        <v>38</v>
      </c>
      <c r="H78" s="19" t="s">
        <v>38</v>
      </c>
      <c r="I78" s="19" t="s">
        <v>38</v>
      </c>
      <c r="J78" s="19" t="s">
        <v>38</v>
      </c>
      <c r="K78" s="19" t="s">
        <v>38</v>
      </c>
      <c r="L78" s="19" t="s">
        <v>38</v>
      </c>
      <c r="M78" s="19" t="s">
        <v>38</v>
      </c>
      <c r="N78" s="23" t="s">
        <v>38</v>
      </c>
      <c r="O78" s="23" t="s">
        <v>38</v>
      </c>
      <c r="P78" s="23" t="s">
        <v>38</v>
      </c>
      <c r="Q78" s="23" t="s">
        <v>38</v>
      </c>
      <c r="R78" s="23" t="s">
        <v>38</v>
      </c>
      <c r="S78" s="23" t="s">
        <v>38</v>
      </c>
      <c r="T78" s="23" t="s">
        <v>38</v>
      </c>
      <c r="U78" s="23" t="s">
        <v>38</v>
      </c>
      <c r="V78" s="23" t="s">
        <v>38</v>
      </c>
      <c r="W78" s="23" t="s">
        <v>38</v>
      </c>
      <c r="X78" s="23" t="s">
        <v>38</v>
      </c>
      <c r="Y78" s="23" t="s">
        <v>38</v>
      </c>
      <c r="Z78" s="23" t="s">
        <v>38</v>
      </c>
      <c r="AA78" s="23" t="s">
        <v>38</v>
      </c>
      <c r="AB78" s="23" t="s">
        <v>38</v>
      </c>
      <c r="AC78" s="23" t="s">
        <v>38</v>
      </c>
      <c r="AD78" s="23" t="s">
        <v>38</v>
      </c>
      <c r="AE78" s="36" t="s">
        <v>38</v>
      </c>
      <c r="AF78" s="36" t="s">
        <v>38</v>
      </c>
      <c r="AG78" s="36" t="s">
        <v>38</v>
      </c>
      <c r="AH78" s="36" t="s">
        <v>38</v>
      </c>
      <c r="AI78" s="36" t="s">
        <v>38</v>
      </c>
      <c r="AJ78" s="36" t="s">
        <v>38</v>
      </c>
      <c r="AK78" s="36" t="s">
        <v>38</v>
      </c>
      <c r="AL78" s="36" t="s">
        <v>38</v>
      </c>
      <c r="AM78" s="36" t="s">
        <v>38</v>
      </c>
      <c r="AN78" s="36" t="s">
        <v>38</v>
      </c>
      <c r="AO78" s="36" t="s">
        <v>38</v>
      </c>
      <c r="AP78" s="36" t="s">
        <v>38</v>
      </c>
      <c r="AQ78" s="36" t="s">
        <v>38</v>
      </c>
      <c r="AR78" s="36" t="s">
        <v>38</v>
      </c>
      <c r="AS78" s="36" t="s">
        <v>38</v>
      </c>
      <c r="AT78" s="36" t="s">
        <v>38</v>
      </c>
      <c r="AU78" s="36" t="s">
        <v>38</v>
      </c>
      <c r="AV78" s="36" t="s">
        <v>38</v>
      </c>
      <c r="AW78" s="36" t="s">
        <v>38</v>
      </c>
      <c r="AX78" s="36" t="s">
        <v>38</v>
      </c>
      <c r="AY78" s="36" t="s">
        <v>38</v>
      </c>
      <c r="AZ78" s="36" t="s">
        <v>38</v>
      </c>
      <c r="BA78" s="36" t="s">
        <v>38</v>
      </c>
      <c r="BB78" s="36" t="s">
        <v>38</v>
      </c>
      <c r="BC78" s="36" t="s">
        <v>38</v>
      </c>
      <c r="BD78" s="36" t="s">
        <v>38</v>
      </c>
      <c r="BE78" s="36" t="s">
        <v>38</v>
      </c>
      <c r="BF78" s="36" t="s">
        <v>38</v>
      </c>
      <c r="BG78" s="36" t="s">
        <v>38</v>
      </c>
      <c r="BH78" s="39" t="s">
        <v>38</v>
      </c>
      <c r="BI78" s="39" t="s">
        <v>38</v>
      </c>
      <c r="BJ78" s="39" t="s">
        <v>38</v>
      </c>
      <c r="BK78" s="39" t="s">
        <v>38</v>
      </c>
      <c r="BL78" s="39" t="s">
        <v>38</v>
      </c>
      <c r="BM78" s="39" t="s">
        <v>38</v>
      </c>
      <c r="BN78" s="39" t="s">
        <v>38</v>
      </c>
      <c r="BO78" s="39" t="s">
        <v>38</v>
      </c>
      <c r="BP78" s="39" t="s">
        <v>38</v>
      </c>
      <c r="BQ78" s="39" t="s">
        <v>38</v>
      </c>
      <c r="BR78" s="39" t="s">
        <v>38</v>
      </c>
      <c r="BS78" s="39" t="s">
        <v>38</v>
      </c>
      <c r="BT78" s="39" t="s">
        <v>38</v>
      </c>
      <c r="BU78" s="39" t="s">
        <v>38</v>
      </c>
      <c r="BV78" s="39" t="s">
        <v>38</v>
      </c>
      <c r="BW78" s="42" t="s">
        <v>38</v>
      </c>
      <c r="BX78" s="41" t="s">
        <v>38</v>
      </c>
      <c r="BY78" s="69" t="s">
        <v>38</v>
      </c>
      <c r="BZ78" s="69" t="s">
        <v>38</v>
      </c>
      <c r="CA78" s="76" t="s">
        <v>38</v>
      </c>
    </row>
    <row r="79" spans="1:79">
      <c r="A79" s="21">
        <v>58</v>
      </c>
      <c r="B79" s="83">
        <v>254478.967924</v>
      </c>
      <c r="C79" s="83">
        <v>4505639.2194499997</v>
      </c>
      <c r="D79" s="19" t="s">
        <v>38</v>
      </c>
      <c r="E79" s="19" t="s">
        <v>38</v>
      </c>
      <c r="F79" s="19" t="s">
        <v>38</v>
      </c>
      <c r="G79" s="19" t="s">
        <v>38</v>
      </c>
      <c r="H79" s="19" t="s">
        <v>38</v>
      </c>
      <c r="I79" s="19" t="s">
        <v>38</v>
      </c>
      <c r="J79" s="19" t="s">
        <v>38</v>
      </c>
      <c r="K79" s="19" t="s">
        <v>38</v>
      </c>
      <c r="L79" s="19" t="s">
        <v>38</v>
      </c>
      <c r="M79" s="19" t="s">
        <v>38</v>
      </c>
      <c r="N79" s="23" t="s">
        <v>38</v>
      </c>
      <c r="O79" s="23" t="s">
        <v>38</v>
      </c>
      <c r="P79" s="23" t="s">
        <v>38</v>
      </c>
      <c r="Q79" s="23" t="s">
        <v>38</v>
      </c>
      <c r="R79" s="23" t="s">
        <v>38</v>
      </c>
      <c r="S79" s="23" t="s">
        <v>38</v>
      </c>
      <c r="T79" s="23" t="s">
        <v>38</v>
      </c>
      <c r="U79" s="23" t="s">
        <v>38</v>
      </c>
      <c r="V79" s="23" t="s">
        <v>38</v>
      </c>
      <c r="W79" s="23" t="s">
        <v>38</v>
      </c>
      <c r="X79" s="23" t="s">
        <v>38</v>
      </c>
      <c r="Y79" s="23" t="s">
        <v>38</v>
      </c>
      <c r="Z79" s="23" t="s">
        <v>38</v>
      </c>
      <c r="AA79" s="23" t="s">
        <v>38</v>
      </c>
      <c r="AB79" s="23" t="s">
        <v>38</v>
      </c>
      <c r="AC79" s="23" t="s">
        <v>38</v>
      </c>
      <c r="AD79" s="23" t="s">
        <v>38</v>
      </c>
      <c r="AE79" s="36" t="s">
        <v>38</v>
      </c>
      <c r="AF79" s="36" t="s">
        <v>38</v>
      </c>
      <c r="AG79" s="36" t="s">
        <v>38</v>
      </c>
      <c r="AH79" s="36" t="s">
        <v>38</v>
      </c>
      <c r="AI79" s="36" t="s">
        <v>38</v>
      </c>
      <c r="AJ79" s="36" t="s">
        <v>38</v>
      </c>
      <c r="AK79" s="36" t="s">
        <v>38</v>
      </c>
      <c r="AL79" s="36" t="s">
        <v>38</v>
      </c>
      <c r="AM79" s="36" t="s">
        <v>38</v>
      </c>
      <c r="AN79" s="36" t="s">
        <v>38</v>
      </c>
      <c r="AO79" s="36" t="s">
        <v>38</v>
      </c>
      <c r="AP79" s="36" t="s">
        <v>38</v>
      </c>
      <c r="AQ79" s="36" t="s">
        <v>38</v>
      </c>
      <c r="AR79" s="36" t="s">
        <v>38</v>
      </c>
      <c r="AS79" s="36" t="s">
        <v>38</v>
      </c>
      <c r="AT79" s="36" t="s">
        <v>38</v>
      </c>
      <c r="AU79" s="36" t="s">
        <v>38</v>
      </c>
      <c r="AV79" s="36" t="s">
        <v>38</v>
      </c>
      <c r="AW79" s="36" t="s">
        <v>38</v>
      </c>
      <c r="AX79" s="36" t="s">
        <v>38</v>
      </c>
      <c r="AY79" s="36" t="s">
        <v>38</v>
      </c>
      <c r="AZ79" s="36" t="s">
        <v>38</v>
      </c>
      <c r="BA79" s="36" t="s">
        <v>38</v>
      </c>
      <c r="BB79" s="36" t="s">
        <v>38</v>
      </c>
      <c r="BC79" s="36" t="s">
        <v>38</v>
      </c>
      <c r="BD79" s="36" t="s">
        <v>38</v>
      </c>
      <c r="BE79" s="36" t="s">
        <v>38</v>
      </c>
      <c r="BF79" s="36" t="s">
        <v>38</v>
      </c>
      <c r="BG79" s="36" t="s">
        <v>38</v>
      </c>
      <c r="BH79" s="39" t="s">
        <v>38</v>
      </c>
      <c r="BI79" s="39" t="s">
        <v>38</v>
      </c>
      <c r="BJ79" s="39" t="s">
        <v>38</v>
      </c>
      <c r="BK79" s="39" t="s">
        <v>38</v>
      </c>
      <c r="BL79" s="39" t="s">
        <v>38</v>
      </c>
      <c r="BM79" s="39" t="s">
        <v>38</v>
      </c>
      <c r="BN79" s="39" t="s">
        <v>38</v>
      </c>
      <c r="BO79" s="39" t="s">
        <v>38</v>
      </c>
      <c r="BP79" s="39" t="s">
        <v>38</v>
      </c>
      <c r="BQ79" s="39" t="s">
        <v>38</v>
      </c>
      <c r="BR79" s="39" t="s">
        <v>38</v>
      </c>
      <c r="BS79" s="39" t="s">
        <v>38</v>
      </c>
      <c r="BT79" s="39" t="s">
        <v>38</v>
      </c>
      <c r="BU79" s="39" t="s">
        <v>38</v>
      </c>
      <c r="BV79" s="39" t="s">
        <v>38</v>
      </c>
      <c r="BW79" s="42" t="s">
        <v>38</v>
      </c>
      <c r="BX79" s="41" t="s">
        <v>38</v>
      </c>
      <c r="BY79" s="69" t="s">
        <v>38</v>
      </c>
      <c r="BZ79" s="69" t="s">
        <v>38</v>
      </c>
      <c r="CA79" s="89" t="s">
        <v>38</v>
      </c>
    </row>
    <row r="80" spans="1:79">
      <c r="A80" s="21">
        <v>59</v>
      </c>
      <c r="B80" s="83">
        <v>254508.20847300001</v>
      </c>
      <c r="C80" s="83">
        <v>4505675.6492100004</v>
      </c>
      <c r="D80" s="19" t="s">
        <v>38</v>
      </c>
      <c r="E80" s="19" t="s">
        <v>38</v>
      </c>
      <c r="F80" s="19" t="s">
        <v>38</v>
      </c>
      <c r="G80" s="19" t="s">
        <v>38</v>
      </c>
      <c r="H80" s="19" t="s">
        <v>38</v>
      </c>
      <c r="I80" s="19" t="s">
        <v>38</v>
      </c>
      <c r="J80" s="19" t="s">
        <v>38</v>
      </c>
      <c r="K80" s="19" t="s">
        <v>38</v>
      </c>
      <c r="L80" s="19" t="s">
        <v>38</v>
      </c>
      <c r="M80" s="19" t="s">
        <v>38</v>
      </c>
      <c r="N80" s="23" t="s">
        <v>38</v>
      </c>
      <c r="O80" s="23" t="s">
        <v>38</v>
      </c>
      <c r="P80" s="23" t="s">
        <v>38</v>
      </c>
      <c r="Q80" s="23" t="s">
        <v>38</v>
      </c>
      <c r="R80" s="23" t="s">
        <v>38</v>
      </c>
      <c r="S80" s="23" t="s">
        <v>38</v>
      </c>
      <c r="T80" s="23" t="s">
        <v>38</v>
      </c>
      <c r="U80" s="23" t="s">
        <v>38</v>
      </c>
      <c r="V80" s="23" t="s">
        <v>38</v>
      </c>
      <c r="W80" s="23" t="s">
        <v>38</v>
      </c>
      <c r="X80" s="23" t="s">
        <v>38</v>
      </c>
      <c r="Y80" s="23" t="s">
        <v>38</v>
      </c>
      <c r="Z80" s="23" t="s">
        <v>38</v>
      </c>
      <c r="AA80" s="23" t="s">
        <v>38</v>
      </c>
      <c r="AB80" s="23" t="s">
        <v>38</v>
      </c>
      <c r="AC80" s="23" t="s">
        <v>38</v>
      </c>
      <c r="AD80" s="23" t="s">
        <v>38</v>
      </c>
      <c r="AE80" s="36" t="s">
        <v>38</v>
      </c>
      <c r="AF80" s="36" t="s">
        <v>38</v>
      </c>
      <c r="AG80" s="36" t="s">
        <v>38</v>
      </c>
      <c r="AH80" s="36" t="s">
        <v>38</v>
      </c>
      <c r="AI80" s="36" t="s">
        <v>38</v>
      </c>
      <c r="AJ80" s="36" t="s">
        <v>38</v>
      </c>
      <c r="AK80" s="36" t="s">
        <v>38</v>
      </c>
      <c r="AL80" s="36" t="s">
        <v>38</v>
      </c>
      <c r="AM80" s="36" t="s">
        <v>38</v>
      </c>
      <c r="AN80" s="36" t="s">
        <v>38</v>
      </c>
      <c r="AO80" s="36" t="s">
        <v>38</v>
      </c>
      <c r="AP80" s="36" t="s">
        <v>38</v>
      </c>
      <c r="AQ80" s="36" t="s">
        <v>38</v>
      </c>
      <c r="AR80" s="36" t="s">
        <v>38</v>
      </c>
      <c r="AS80" s="36" t="s">
        <v>38</v>
      </c>
      <c r="AT80" s="36" t="s">
        <v>38</v>
      </c>
      <c r="AU80" s="36" t="s">
        <v>38</v>
      </c>
      <c r="AV80" s="36" t="s">
        <v>38</v>
      </c>
      <c r="AW80" s="36" t="s">
        <v>38</v>
      </c>
      <c r="AX80" s="36" t="s">
        <v>38</v>
      </c>
      <c r="AY80" s="36" t="s">
        <v>38</v>
      </c>
      <c r="AZ80" s="36" t="s">
        <v>38</v>
      </c>
      <c r="BA80" s="36" t="s">
        <v>38</v>
      </c>
      <c r="BB80" s="36" t="s">
        <v>38</v>
      </c>
      <c r="BC80" s="36" t="s">
        <v>38</v>
      </c>
      <c r="BD80" s="36" t="s">
        <v>38</v>
      </c>
      <c r="BE80" s="36" t="s">
        <v>38</v>
      </c>
      <c r="BF80" s="36" t="s">
        <v>38</v>
      </c>
      <c r="BG80" s="36" t="s">
        <v>38</v>
      </c>
      <c r="BH80" s="39" t="s">
        <v>38</v>
      </c>
      <c r="BI80" s="39" t="s">
        <v>38</v>
      </c>
      <c r="BJ80" s="39" t="s">
        <v>38</v>
      </c>
      <c r="BK80" s="39" t="s">
        <v>38</v>
      </c>
      <c r="BL80" s="39" t="s">
        <v>38</v>
      </c>
      <c r="BM80" s="39" t="s">
        <v>38</v>
      </c>
      <c r="BN80" s="39" t="s">
        <v>38</v>
      </c>
      <c r="BO80" s="39" t="s">
        <v>38</v>
      </c>
      <c r="BP80" s="39" t="s">
        <v>38</v>
      </c>
      <c r="BQ80" s="39" t="s">
        <v>38</v>
      </c>
      <c r="BR80" s="39" t="s">
        <v>38</v>
      </c>
      <c r="BS80" s="39" t="s">
        <v>38</v>
      </c>
      <c r="BT80" s="39" t="s">
        <v>38</v>
      </c>
      <c r="BU80" s="39" t="s">
        <v>38</v>
      </c>
      <c r="BV80" s="39" t="s">
        <v>38</v>
      </c>
      <c r="BW80" s="42" t="s">
        <v>38</v>
      </c>
      <c r="BX80" s="41" t="s">
        <v>38</v>
      </c>
      <c r="BY80" s="69" t="s">
        <v>38</v>
      </c>
      <c r="BZ80" s="69" t="s">
        <v>38</v>
      </c>
      <c r="CA80" s="89" t="s">
        <v>38</v>
      </c>
    </row>
    <row r="81" spans="1:79">
      <c r="A81" s="21">
        <v>60</v>
      </c>
      <c r="B81" s="82">
        <v>254489.42741900001</v>
      </c>
      <c r="C81" s="82">
        <v>4505627.2146600001</v>
      </c>
      <c r="D81" s="19">
        <v>0.224</v>
      </c>
      <c r="E81" s="19">
        <v>0.22900000000000001</v>
      </c>
      <c r="F81" s="19">
        <v>0.23849999999999999</v>
      </c>
      <c r="G81" s="19">
        <v>0.24299999999999999</v>
      </c>
      <c r="H81" s="19" t="s">
        <v>38</v>
      </c>
      <c r="I81" s="19">
        <v>0.17849999999999999</v>
      </c>
      <c r="J81" s="19">
        <v>0.15049999999999999</v>
      </c>
      <c r="K81" s="19">
        <v>0.122</v>
      </c>
      <c r="L81" s="19" t="s">
        <v>38</v>
      </c>
      <c r="M81" s="19" t="s">
        <v>38</v>
      </c>
      <c r="N81" s="23" t="s">
        <v>38</v>
      </c>
      <c r="O81" s="23" t="s">
        <v>38</v>
      </c>
      <c r="P81" s="23" t="s">
        <v>38</v>
      </c>
      <c r="Q81" s="23" t="s">
        <v>38</v>
      </c>
      <c r="R81" s="23" t="s">
        <v>38</v>
      </c>
      <c r="S81" s="23" t="s">
        <v>38</v>
      </c>
      <c r="T81" s="36">
        <v>0.246</v>
      </c>
      <c r="U81" s="36">
        <v>0.23899999999999999</v>
      </c>
      <c r="V81" s="36" t="s">
        <v>38</v>
      </c>
      <c r="W81" s="36">
        <v>0.26800000000000002</v>
      </c>
      <c r="X81" s="36">
        <v>0.223</v>
      </c>
      <c r="Y81" s="36">
        <v>0.193</v>
      </c>
      <c r="Z81" s="36">
        <v>0.23200000000000001</v>
      </c>
      <c r="AA81" s="36">
        <v>0.245</v>
      </c>
      <c r="AB81" s="36">
        <v>0.28399999999999997</v>
      </c>
      <c r="AC81" s="36">
        <v>0.23499999999999999</v>
      </c>
      <c r="AD81" s="36">
        <v>0.22800000000000001</v>
      </c>
      <c r="AE81" s="36">
        <v>0.23100000000000001</v>
      </c>
      <c r="AF81" s="36">
        <v>0.189</v>
      </c>
      <c r="AG81" s="36">
        <v>0.2</v>
      </c>
      <c r="AH81" s="36">
        <v>0.155</v>
      </c>
      <c r="AI81" s="36">
        <v>0.153</v>
      </c>
      <c r="AJ81" s="36">
        <v>0.153</v>
      </c>
      <c r="AK81" s="36">
        <v>0.16400000000000001</v>
      </c>
      <c r="AL81" s="36">
        <v>0.27500000000000002</v>
      </c>
      <c r="AM81" s="36">
        <v>0.26800000000000002</v>
      </c>
      <c r="AN81" s="36">
        <v>0.191</v>
      </c>
      <c r="AO81" s="36">
        <v>0.16500000000000001</v>
      </c>
      <c r="AP81" s="36">
        <v>0.16</v>
      </c>
      <c r="AQ81" s="36">
        <v>0.19800000000000001</v>
      </c>
      <c r="AR81" s="36">
        <v>0.189</v>
      </c>
      <c r="AS81" s="36">
        <v>0.152</v>
      </c>
      <c r="AT81" s="36">
        <v>0.185</v>
      </c>
      <c r="AU81" s="36">
        <v>0.14299999999999999</v>
      </c>
      <c r="AV81" s="36">
        <v>0.106</v>
      </c>
      <c r="AW81" s="36">
        <v>0.124</v>
      </c>
      <c r="AX81" s="36">
        <v>0.13300000000000001</v>
      </c>
      <c r="AY81" s="36">
        <v>0.155</v>
      </c>
      <c r="AZ81" s="36">
        <v>0.16300000000000001</v>
      </c>
      <c r="BA81" s="36">
        <v>0.20599999999999999</v>
      </c>
      <c r="BB81" s="37">
        <v>0.16949999999999998</v>
      </c>
      <c r="BC81" s="36">
        <v>0.20749999999999999</v>
      </c>
      <c r="BD81" s="37">
        <v>0.247</v>
      </c>
      <c r="BE81" s="36" t="s">
        <v>38</v>
      </c>
      <c r="BF81" s="37">
        <v>0.1595</v>
      </c>
      <c r="BG81" s="36">
        <v>0.22500000000000001</v>
      </c>
      <c r="BH81" s="38">
        <v>0.20550000000000002</v>
      </c>
      <c r="BI81" s="38">
        <v>0.22899999999999998</v>
      </c>
      <c r="BJ81" s="38">
        <v>0.19900000000000001</v>
      </c>
      <c r="BK81" s="38">
        <v>0.218</v>
      </c>
      <c r="BL81" s="38">
        <v>0.222</v>
      </c>
      <c r="BM81" s="38">
        <v>0.24049999999999999</v>
      </c>
      <c r="BN81" s="39" t="s">
        <v>38</v>
      </c>
      <c r="BO81" s="40">
        <v>0.22700000000000001</v>
      </c>
      <c r="BP81" s="38">
        <v>0.24249999999999999</v>
      </c>
      <c r="BQ81" s="38">
        <v>0.184</v>
      </c>
      <c r="BR81" s="41">
        <v>0.20600000000000002</v>
      </c>
      <c r="BS81" s="41">
        <v>0.17549999999999999</v>
      </c>
      <c r="BT81" s="41">
        <v>0.16750000000000001</v>
      </c>
      <c r="BU81" s="42">
        <v>0.1825</v>
      </c>
      <c r="BV81" s="41">
        <v>0.1555</v>
      </c>
      <c r="BW81" s="42" t="s">
        <v>38</v>
      </c>
      <c r="BX81" s="41" t="s">
        <v>38</v>
      </c>
      <c r="BY81" s="85">
        <f>(0.261+0.282)/2</f>
        <v>0.27149999999999996</v>
      </c>
      <c r="BZ81" s="85">
        <f>(0.364+0.336)/2</f>
        <v>0.35</v>
      </c>
      <c r="CA81" s="89">
        <v>0.26150000000000001</v>
      </c>
    </row>
    <row r="82" spans="1:79">
      <c r="A82" s="21" t="s">
        <v>26</v>
      </c>
      <c r="B82" s="82">
        <v>254490.50914000001</v>
      </c>
      <c r="C82" s="82">
        <v>4505628.04213</v>
      </c>
      <c r="D82" s="19">
        <v>0.24</v>
      </c>
      <c r="E82" s="19">
        <v>0.22750000000000001</v>
      </c>
      <c r="F82" s="19">
        <v>0.23250000000000001</v>
      </c>
      <c r="G82" s="19">
        <v>0.24</v>
      </c>
      <c r="H82" s="19" t="s">
        <v>38</v>
      </c>
      <c r="I82" s="19">
        <v>0.1825</v>
      </c>
      <c r="J82" s="19">
        <v>0.1555</v>
      </c>
      <c r="K82" s="19">
        <v>0.1085</v>
      </c>
      <c r="L82" s="19">
        <v>0.183</v>
      </c>
      <c r="M82" s="19">
        <v>8.5000000000000006E-2</v>
      </c>
      <c r="N82" s="16">
        <v>0.154</v>
      </c>
      <c r="O82" s="16">
        <v>8.7999999999999995E-2</v>
      </c>
      <c r="P82" s="23" t="s">
        <v>38</v>
      </c>
      <c r="Q82" s="16">
        <v>0.189</v>
      </c>
      <c r="R82" s="16">
        <v>0.22900000000000001</v>
      </c>
      <c r="S82" s="23" t="s">
        <v>38</v>
      </c>
      <c r="T82" s="36">
        <v>0.23699999999999999</v>
      </c>
      <c r="U82" s="36">
        <v>0.248</v>
      </c>
      <c r="V82" s="36" t="s">
        <v>38</v>
      </c>
      <c r="W82" s="36">
        <v>0.27300000000000002</v>
      </c>
      <c r="X82" s="36">
        <v>0.24299999999999999</v>
      </c>
      <c r="Y82" s="36" t="s">
        <v>38</v>
      </c>
      <c r="Z82" s="36">
        <v>0.26900000000000002</v>
      </c>
      <c r="AA82" s="36">
        <v>0.28299999999999997</v>
      </c>
      <c r="AB82" s="36" t="s">
        <v>38</v>
      </c>
      <c r="AC82" s="36">
        <v>0.251</v>
      </c>
      <c r="AD82" s="36">
        <v>0.23799999999999999</v>
      </c>
      <c r="AE82" s="36" t="s">
        <v>38</v>
      </c>
      <c r="AF82" s="36">
        <v>0.16400000000000001</v>
      </c>
      <c r="AG82" s="36">
        <v>0.188</v>
      </c>
      <c r="AH82" s="36">
        <v>0.13800000000000001</v>
      </c>
      <c r="AI82" s="36" t="s">
        <v>38</v>
      </c>
      <c r="AJ82" s="36" t="s">
        <v>38</v>
      </c>
      <c r="AK82" s="36">
        <v>0.11700000000000001</v>
      </c>
      <c r="AL82" s="36" t="s">
        <v>38</v>
      </c>
      <c r="AM82" s="36">
        <v>0.28999999999999998</v>
      </c>
      <c r="AN82" s="36">
        <v>0.20200000000000001</v>
      </c>
      <c r="AO82" s="36" t="s">
        <v>38</v>
      </c>
      <c r="AP82" s="36" t="s">
        <v>38</v>
      </c>
      <c r="AQ82" s="36">
        <v>0.186</v>
      </c>
      <c r="AR82" s="36" t="s">
        <v>38</v>
      </c>
      <c r="AS82" s="36">
        <v>0.156</v>
      </c>
      <c r="AT82" s="36" t="s">
        <v>38</v>
      </c>
      <c r="AU82" s="36">
        <v>0.125</v>
      </c>
      <c r="AV82" s="36" t="s">
        <v>38</v>
      </c>
      <c r="AW82" s="36" t="s">
        <v>38</v>
      </c>
      <c r="AX82" s="36" t="s">
        <v>38</v>
      </c>
      <c r="AY82" s="36">
        <v>0.14299999999999999</v>
      </c>
      <c r="AZ82" s="36">
        <v>0.13900000000000001</v>
      </c>
      <c r="BA82" s="36">
        <v>0.19500000000000001</v>
      </c>
      <c r="BB82" s="37">
        <v>0.1555</v>
      </c>
      <c r="BC82" s="36">
        <v>0.20599999999999999</v>
      </c>
      <c r="BD82" s="37">
        <v>0.23099999999999998</v>
      </c>
      <c r="BE82" s="36" t="s">
        <v>38</v>
      </c>
      <c r="BF82" s="37">
        <v>0.13700000000000001</v>
      </c>
      <c r="BG82" s="36">
        <v>0.2235</v>
      </c>
      <c r="BH82" s="38" t="s">
        <v>38</v>
      </c>
      <c r="BI82" s="38" t="s">
        <v>38</v>
      </c>
      <c r="BJ82" s="38" t="s">
        <v>38</v>
      </c>
      <c r="BK82" s="38">
        <v>0.20799999999999999</v>
      </c>
      <c r="BL82" s="38" t="s">
        <v>38</v>
      </c>
      <c r="BM82" s="38" t="s">
        <v>38</v>
      </c>
      <c r="BN82" s="38" t="s">
        <v>38</v>
      </c>
      <c r="BO82" s="38" t="s">
        <v>38</v>
      </c>
      <c r="BP82" s="38" t="s">
        <v>38</v>
      </c>
      <c r="BQ82" s="38">
        <v>0.1575</v>
      </c>
      <c r="BR82" s="41">
        <v>0.17849999999999999</v>
      </c>
      <c r="BS82" s="41">
        <v>0.14799999999999999</v>
      </c>
      <c r="BT82" s="41">
        <v>0.14149999999999999</v>
      </c>
      <c r="BU82" s="42">
        <v>0.14299999999999999</v>
      </c>
      <c r="BV82" s="41" t="s">
        <v>38</v>
      </c>
      <c r="BW82" s="42" t="s">
        <v>38</v>
      </c>
      <c r="BX82" s="41" t="s">
        <v>38</v>
      </c>
      <c r="BY82" s="85" t="s">
        <v>38</v>
      </c>
      <c r="BZ82" s="84" t="s">
        <v>38</v>
      </c>
      <c r="CA82" s="69" t="s">
        <v>38</v>
      </c>
    </row>
    <row r="83" spans="1:79">
      <c r="A83" s="21" t="s">
        <v>27</v>
      </c>
      <c r="B83" s="82">
        <v>254490.34821900001</v>
      </c>
      <c r="C83" s="82">
        <v>4505626.1343099996</v>
      </c>
      <c r="D83" s="19">
        <v>0.19850000000000001</v>
      </c>
      <c r="E83" s="19">
        <v>0.19900000000000001</v>
      </c>
      <c r="F83" s="19">
        <v>0.222</v>
      </c>
      <c r="G83" s="19">
        <v>0.221</v>
      </c>
      <c r="H83" s="19" t="s">
        <v>38</v>
      </c>
      <c r="I83" s="19">
        <v>0.1555</v>
      </c>
      <c r="J83" s="19">
        <v>0.13</v>
      </c>
      <c r="K83" s="19">
        <v>0.10050000000000001</v>
      </c>
      <c r="L83" s="19">
        <v>0.17149999999999999</v>
      </c>
      <c r="M83" s="19">
        <v>6.8000000000000005E-2</v>
      </c>
      <c r="N83" s="16">
        <v>0.15100000000000002</v>
      </c>
      <c r="O83" s="16">
        <v>7.350000000000001E-2</v>
      </c>
      <c r="P83" s="23" t="s">
        <v>38</v>
      </c>
      <c r="Q83" s="16">
        <v>0.1885</v>
      </c>
      <c r="R83" s="16" t="s">
        <v>38</v>
      </c>
      <c r="S83" s="16">
        <v>0.15049999999999999</v>
      </c>
      <c r="T83" s="36">
        <v>0.255</v>
      </c>
      <c r="U83" s="36">
        <v>0.221</v>
      </c>
      <c r="V83" s="36" t="s">
        <v>38</v>
      </c>
      <c r="W83" s="36">
        <v>0.26600000000000001</v>
      </c>
      <c r="X83" s="36">
        <v>0.20699999999999999</v>
      </c>
      <c r="Y83" s="36" t="s">
        <v>38</v>
      </c>
      <c r="Z83" s="36">
        <v>0.23</v>
      </c>
      <c r="AA83" s="36">
        <v>0.253</v>
      </c>
      <c r="AB83" s="36" t="s">
        <v>38</v>
      </c>
      <c r="AC83" s="36">
        <v>0.22500000000000001</v>
      </c>
      <c r="AD83" s="36">
        <v>0.217</v>
      </c>
      <c r="AE83" s="36" t="s">
        <v>38</v>
      </c>
      <c r="AF83" s="36">
        <v>0.157</v>
      </c>
      <c r="AG83" s="36">
        <v>0.14299999999999999</v>
      </c>
      <c r="AH83" s="36">
        <v>0.11</v>
      </c>
      <c r="AI83" s="36" t="s">
        <v>38</v>
      </c>
      <c r="AJ83" s="36" t="s">
        <v>38</v>
      </c>
      <c r="AK83" s="36">
        <v>0.123</v>
      </c>
      <c r="AL83" s="36" t="s">
        <v>38</v>
      </c>
      <c r="AM83" s="36">
        <v>0.28499999999999998</v>
      </c>
      <c r="AN83" s="36">
        <v>0.193</v>
      </c>
      <c r="AO83" s="36" t="s">
        <v>38</v>
      </c>
      <c r="AP83" s="36" t="s">
        <v>38</v>
      </c>
      <c r="AQ83" s="36">
        <v>0.157</v>
      </c>
      <c r="AR83" s="36" t="s">
        <v>38</v>
      </c>
      <c r="AS83" s="36">
        <v>0.14199999999999999</v>
      </c>
      <c r="AT83" s="36" t="s">
        <v>38</v>
      </c>
      <c r="AU83" s="36">
        <v>0.113</v>
      </c>
      <c r="AV83" s="36" t="s">
        <v>38</v>
      </c>
      <c r="AW83" s="36" t="s">
        <v>38</v>
      </c>
      <c r="AX83" s="36" t="s">
        <v>38</v>
      </c>
      <c r="AY83" s="36">
        <v>0.158</v>
      </c>
      <c r="AZ83" s="36">
        <v>0.13600000000000001</v>
      </c>
      <c r="BA83" s="36">
        <v>0.189</v>
      </c>
      <c r="BB83" s="37">
        <v>0.13900000000000001</v>
      </c>
      <c r="BC83" s="36">
        <v>0.20050000000000001</v>
      </c>
      <c r="BD83" s="37">
        <v>0.21200000000000002</v>
      </c>
      <c r="BE83" s="36" t="s">
        <v>38</v>
      </c>
      <c r="BF83" s="37">
        <v>0.122</v>
      </c>
      <c r="BG83" s="36">
        <v>0.22299999999999998</v>
      </c>
      <c r="BH83" s="38" t="s">
        <v>38</v>
      </c>
      <c r="BI83" s="38" t="s">
        <v>38</v>
      </c>
      <c r="BJ83" s="38" t="s">
        <v>38</v>
      </c>
      <c r="BK83" s="38">
        <v>0.20650000000000002</v>
      </c>
      <c r="BL83" s="38" t="s">
        <v>38</v>
      </c>
      <c r="BM83" s="38" t="s">
        <v>38</v>
      </c>
      <c r="BN83" s="38" t="s">
        <v>38</v>
      </c>
      <c r="BO83" s="38" t="s">
        <v>38</v>
      </c>
      <c r="BP83" s="38" t="s">
        <v>38</v>
      </c>
      <c r="BQ83" s="38">
        <v>0.15100000000000002</v>
      </c>
      <c r="BR83" s="41">
        <v>0.182</v>
      </c>
      <c r="BS83" s="41">
        <v>0.14150000000000001</v>
      </c>
      <c r="BT83" s="41">
        <v>0.14050000000000001</v>
      </c>
      <c r="BU83" s="42">
        <v>0.14549999999999999</v>
      </c>
      <c r="BV83" s="41" t="s">
        <v>38</v>
      </c>
      <c r="BW83" s="42" t="s">
        <v>38</v>
      </c>
      <c r="BX83" s="41" t="s">
        <v>38</v>
      </c>
      <c r="BY83" s="85">
        <f>(0.243+0.245)/2</f>
        <v>0.24399999999999999</v>
      </c>
      <c r="BZ83" s="85">
        <f>(0.28+0.349)/2</f>
        <v>0.3145</v>
      </c>
      <c r="CA83" s="89">
        <v>0.246</v>
      </c>
    </row>
    <row r="84" spans="1:79">
      <c r="A84" s="21" t="s">
        <v>28</v>
      </c>
      <c r="B84" s="82">
        <v>254488.395021</v>
      </c>
      <c r="C84" s="82">
        <v>4505626.3354900004</v>
      </c>
      <c r="D84" s="19">
        <v>0.25700000000000001</v>
      </c>
      <c r="E84" s="19">
        <v>0.22900000000000001</v>
      </c>
      <c r="F84" s="19">
        <v>0.23050000000000001</v>
      </c>
      <c r="G84" s="19">
        <v>0.2455</v>
      </c>
      <c r="H84" s="19" t="s">
        <v>38</v>
      </c>
      <c r="I84" s="19">
        <v>0.17</v>
      </c>
      <c r="J84" s="19">
        <v>0.13100000000000001</v>
      </c>
      <c r="K84" s="19">
        <v>0.10150000000000001</v>
      </c>
      <c r="L84" s="19">
        <v>0.13850000000000001</v>
      </c>
      <c r="M84" s="19">
        <v>8.0999999999999989E-2</v>
      </c>
      <c r="N84" s="16">
        <v>0.12</v>
      </c>
      <c r="O84" s="16">
        <v>8.1000000000000003E-2</v>
      </c>
      <c r="P84" s="23" t="s">
        <v>38</v>
      </c>
      <c r="Q84" s="16">
        <v>0.17399999999999999</v>
      </c>
      <c r="R84" s="16" t="s">
        <v>38</v>
      </c>
      <c r="S84" s="16" t="s">
        <v>38</v>
      </c>
      <c r="T84" s="36">
        <v>0.27</v>
      </c>
      <c r="U84" s="36">
        <v>0.28699999999999998</v>
      </c>
      <c r="V84" s="36" t="s">
        <v>38</v>
      </c>
      <c r="W84" s="36">
        <v>0.28699999999999998</v>
      </c>
      <c r="X84" s="36">
        <v>0.251</v>
      </c>
      <c r="Y84" s="36" t="s">
        <v>38</v>
      </c>
      <c r="Z84" s="36">
        <v>0.26</v>
      </c>
      <c r="AA84" s="36">
        <v>0.27200000000000002</v>
      </c>
      <c r="AB84" s="36" t="s">
        <v>38</v>
      </c>
      <c r="AC84" s="36">
        <v>0.24299999999999999</v>
      </c>
      <c r="AD84" s="36">
        <v>0.248</v>
      </c>
      <c r="AE84" s="36" t="s">
        <v>38</v>
      </c>
      <c r="AF84" s="36">
        <v>0.161</v>
      </c>
      <c r="AG84" s="36">
        <v>0.17499999999999999</v>
      </c>
      <c r="AH84" s="36">
        <v>0.13500000000000001</v>
      </c>
      <c r="AI84" s="36" t="s">
        <v>38</v>
      </c>
      <c r="AJ84" s="36" t="s">
        <v>38</v>
      </c>
      <c r="AK84" s="36">
        <v>0.13300000000000001</v>
      </c>
      <c r="AL84" s="36" t="s">
        <v>38</v>
      </c>
      <c r="AM84" s="36">
        <v>0.26500000000000001</v>
      </c>
      <c r="AN84" s="36">
        <v>0.22</v>
      </c>
      <c r="AO84" s="36" t="s">
        <v>38</v>
      </c>
      <c r="AP84" s="36" t="s">
        <v>38</v>
      </c>
      <c r="AQ84" s="36">
        <v>0.184</v>
      </c>
      <c r="AR84" s="36" t="s">
        <v>38</v>
      </c>
      <c r="AS84" s="36">
        <v>0.16600000000000001</v>
      </c>
      <c r="AT84" s="36" t="s">
        <v>38</v>
      </c>
      <c r="AU84" s="36">
        <v>0.13100000000000001</v>
      </c>
      <c r="AV84" s="36" t="s">
        <v>38</v>
      </c>
      <c r="AW84" s="36" t="s">
        <v>38</v>
      </c>
      <c r="AX84" s="36" t="s">
        <v>38</v>
      </c>
      <c r="AY84" s="36">
        <v>0.222</v>
      </c>
      <c r="AZ84" s="36">
        <v>0.19</v>
      </c>
      <c r="BA84" s="36">
        <v>0.16500000000000001</v>
      </c>
      <c r="BB84" s="37">
        <v>0.14799999999999999</v>
      </c>
      <c r="BC84" s="36">
        <v>0.19750000000000001</v>
      </c>
      <c r="BD84" s="37">
        <v>0.23799999999999999</v>
      </c>
      <c r="BE84" s="36" t="s">
        <v>38</v>
      </c>
      <c r="BF84" s="37">
        <v>0.14499999999999999</v>
      </c>
      <c r="BG84" s="36">
        <v>0.223</v>
      </c>
      <c r="BH84" s="38" t="s">
        <v>38</v>
      </c>
      <c r="BI84" s="38" t="s">
        <v>38</v>
      </c>
      <c r="BJ84" s="38" t="s">
        <v>38</v>
      </c>
      <c r="BK84" s="38">
        <v>0.22450000000000001</v>
      </c>
      <c r="BL84" s="38" t="s">
        <v>38</v>
      </c>
      <c r="BM84" s="38" t="s">
        <v>38</v>
      </c>
      <c r="BN84" s="38" t="s">
        <v>38</v>
      </c>
      <c r="BO84" s="38" t="s">
        <v>38</v>
      </c>
      <c r="BP84" s="38" t="s">
        <v>38</v>
      </c>
      <c r="BQ84" s="38">
        <v>0.16400000000000001</v>
      </c>
      <c r="BR84" s="41">
        <v>0.17449999999999999</v>
      </c>
      <c r="BS84" s="41">
        <v>0.1535</v>
      </c>
      <c r="BT84" s="41">
        <v>0.13350000000000001</v>
      </c>
      <c r="BU84" s="42">
        <v>0.11599999999999999</v>
      </c>
      <c r="BV84" s="41" t="s">
        <v>38</v>
      </c>
      <c r="BW84" s="42">
        <v>0.16849999999999998</v>
      </c>
      <c r="BX84" s="41" t="s">
        <v>38</v>
      </c>
      <c r="BY84" s="85">
        <f>(0.212+0.223)/2</f>
        <v>0.2175</v>
      </c>
      <c r="BZ84" s="85">
        <f>(0.328+0.319)/2</f>
        <v>0.32350000000000001</v>
      </c>
      <c r="CA84" s="89">
        <v>0.246</v>
      </c>
    </row>
    <row r="85" spans="1:79">
      <c r="A85" s="21" t="s">
        <v>29</v>
      </c>
      <c r="B85" s="82">
        <v>254488.63037900001</v>
      </c>
      <c r="C85" s="82">
        <v>4505628.1816299995</v>
      </c>
      <c r="D85" s="19">
        <v>0.23349999999999999</v>
      </c>
      <c r="E85" s="19">
        <v>0.20799999999999999</v>
      </c>
      <c r="F85" s="19">
        <v>0.22650000000000001</v>
      </c>
      <c r="G85" s="19">
        <v>0.224</v>
      </c>
      <c r="H85" s="19" t="s">
        <v>38</v>
      </c>
      <c r="I85" s="19">
        <v>0.14249999999999999</v>
      </c>
      <c r="J85" s="19">
        <v>0.13650000000000001</v>
      </c>
      <c r="K85" s="19">
        <v>9.1999999999999998E-2</v>
      </c>
      <c r="L85" s="19">
        <v>0.1295</v>
      </c>
      <c r="M85" s="19">
        <v>8.7499999999999994E-2</v>
      </c>
      <c r="N85" s="16">
        <v>0.13250000000000001</v>
      </c>
      <c r="O85" s="16">
        <v>9.0999999999999998E-2</v>
      </c>
      <c r="P85" s="16">
        <v>9.5500000000000002E-2</v>
      </c>
      <c r="Q85" s="16">
        <v>0.16900000000000001</v>
      </c>
      <c r="R85" s="16" t="s">
        <v>38</v>
      </c>
      <c r="S85" s="16" t="s">
        <v>38</v>
      </c>
      <c r="T85" s="36">
        <v>0.224</v>
      </c>
      <c r="U85" s="36">
        <v>0.23400000000000001</v>
      </c>
      <c r="V85" s="36" t="s">
        <v>38</v>
      </c>
      <c r="W85" s="36">
        <v>0.24</v>
      </c>
      <c r="X85" s="36">
        <v>0.192</v>
      </c>
      <c r="Y85" s="36" t="s">
        <v>38</v>
      </c>
      <c r="Z85" s="36">
        <v>0.22800000000000001</v>
      </c>
      <c r="AA85" s="36">
        <v>0.23300000000000001</v>
      </c>
      <c r="AB85" s="36" t="s">
        <v>38</v>
      </c>
      <c r="AC85" s="36">
        <v>0.223</v>
      </c>
      <c r="AD85" s="36">
        <v>0.218</v>
      </c>
      <c r="AE85" s="36" t="s">
        <v>38</v>
      </c>
      <c r="AF85" s="36">
        <v>0.16800000000000001</v>
      </c>
      <c r="AG85" s="36">
        <v>0.13600000000000001</v>
      </c>
      <c r="AH85" s="36">
        <v>0.13100000000000001</v>
      </c>
      <c r="AI85" s="36" t="s">
        <v>38</v>
      </c>
      <c r="AJ85" s="36" t="s">
        <v>38</v>
      </c>
      <c r="AK85" s="36">
        <v>0.111</v>
      </c>
      <c r="AL85" s="36" t="s">
        <v>38</v>
      </c>
      <c r="AM85" s="36">
        <v>0.248</v>
      </c>
      <c r="AN85" s="36">
        <v>0.186</v>
      </c>
      <c r="AO85" s="36" t="s">
        <v>38</v>
      </c>
      <c r="AP85" s="36" t="s">
        <v>38</v>
      </c>
      <c r="AQ85" s="36">
        <v>0.16300000000000001</v>
      </c>
      <c r="AR85" s="36" t="s">
        <v>38</v>
      </c>
      <c r="AS85" s="36">
        <v>0.14599999999999999</v>
      </c>
      <c r="AT85" s="36" t="s">
        <v>38</v>
      </c>
      <c r="AU85" s="36">
        <v>0.129</v>
      </c>
      <c r="AV85" s="36" t="s">
        <v>38</v>
      </c>
      <c r="AW85" s="36" t="s">
        <v>38</v>
      </c>
      <c r="AX85" s="36" t="s">
        <v>38</v>
      </c>
      <c r="AY85" s="36">
        <v>0.22800000000000001</v>
      </c>
      <c r="AZ85" s="36">
        <v>0.17599999999999999</v>
      </c>
      <c r="BA85" s="36">
        <v>0.23899999999999999</v>
      </c>
      <c r="BB85" s="37">
        <v>0.14050000000000001</v>
      </c>
      <c r="BC85" s="36">
        <v>0.17399999999999999</v>
      </c>
      <c r="BD85" s="37">
        <v>0.19850000000000001</v>
      </c>
      <c r="BE85" s="36" t="s">
        <v>38</v>
      </c>
      <c r="BF85" s="37">
        <v>0.14300000000000002</v>
      </c>
      <c r="BG85" s="36">
        <v>0.20850000000000002</v>
      </c>
      <c r="BH85" s="38" t="s">
        <v>38</v>
      </c>
      <c r="BI85" s="38" t="s">
        <v>38</v>
      </c>
      <c r="BJ85" s="38" t="s">
        <v>38</v>
      </c>
      <c r="BK85" s="38">
        <v>0.20200000000000001</v>
      </c>
      <c r="BL85" s="38" t="s">
        <v>38</v>
      </c>
      <c r="BM85" s="38" t="s">
        <v>38</v>
      </c>
      <c r="BN85" s="38" t="s">
        <v>38</v>
      </c>
      <c r="BO85" s="38" t="s">
        <v>38</v>
      </c>
      <c r="BP85" s="38" t="s">
        <v>38</v>
      </c>
      <c r="BQ85" s="38">
        <v>0.157</v>
      </c>
      <c r="BR85" s="41">
        <v>0.17249999999999999</v>
      </c>
      <c r="BS85" s="41">
        <v>0.14700000000000002</v>
      </c>
      <c r="BT85" s="41">
        <v>0.13800000000000001</v>
      </c>
      <c r="BU85" s="42">
        <v>0.1545</v>
      </c>
      <c r="BV85" s="41" t="s">
        <v>38</v>
      </c>
      <c r="BW85" s="42" t="s">
        <v>38</v>
      </c>
      <c r="BX85" s="41" t="s">
        <v>38</v>
      </c>
      <c r="BY85" s="85">
        <f>(0.229+0.238)/2</f>
        <v>0.23349999999999999</v>
      </c>
      <c r="BZ85" s="85">
        <f>(0.322+0.319)/2</f>
        <v>0.32050000000000001</v>
      </c>
      <c r="CA85" s="89">
        <v>0.2455</v>
      </c>
    </row>
    <row r="86" spans="1:79">
      <c r="A86" s="21">
        <v>61</v>
      </c>
      <c r="B86" s="82">
        <v>254539.52779299999</v>
      </c>
      <c r="C86" s="82">
        <v>4505618.9177599996</v>
      </c>
      <c r="D86" s="19" t="s">
        <v>38</v>
      </c>
      <c r="E86" s="19">
        <v>0.28149999999999997</v>
      </c>
      <c r="F86" s="19">
        <v>0.27650000000000002</v>
      </c>
      <c r="G86" s="19">
        <v>0.31</v>
      </c>
      <c r="H86" s="19">
        <v>0.21249999999999999</v>
      </c>
      <c r="I86" s="19">
        <v>0.246</v>
      </c>
      <c r="J86" s="19">
        <v>0.19</v>
      </c>
      <c r="K86" s="19">
        <v>0.12</v>
      </c>
      <c r="L86" s="19">
        <v>0.2195</v>
      </c>
      <c r="M86" s="19" t="s">
        <v>38</v>
      </c>
      <c r="N86" s="23" t="s">
        <v>38</v>
      </c>
      <c r="O86" s="16">
        <v>0.11550000000000001</v>
      </c>
      <c r="P86" s="23" t="s">
        <v>38</v>
      </c>
      <c r="Q86" s="16" t="s">
        <v>38</v>
      </c>
      <c r="R86" s="16">
        <v>0.2195</v>
      </c>
      <c r="S86" s="16" t="s">
        <v>38</v>
      </c>
      <c r="T86" s="36">
        <v>0.33900000000000002</v>
      </c>
      <c r="U86" s="36">
        <v>0.33700000000000002</v>
      </c>
      <c r="V86" s="36">
        <v>0.34</v>
      </c>
      <c r="W86" s="36">
        <v>0.375</v>
      </c>
      <c r="X86" s="36">
        <v>0.27100000000000002</v>
      </c>
      <c r="Y86" s="36">
        <v>0.22900000000000001</v>
      </c>
      <c r="Z86" s="36">
        <v>0.27200000000000002</v>
      </c>
      <c r="AA86" s="36">
        <v>0.28100000000000003</v>
      </c>
      <c r="AB86" s="36">
        <v>0.32800000000000001</v>
      </c>
      <c r="AC86" s="36">
        <v>0.31</v>
      </c>
      <c r="AD86" s="36">
        <v>0.32400000000000001</v>
      </c>
      <c r="AE86" s="36">
        <v>0.26400000000000001</v>
      </c>
      <c r="AF86" s="36">
        <v>0.219</v>
      </c>
      <c r="AG86" s="36">
        <v>0.20399999999999999</v>
      </c>
      <c r="AH86" s="36">
        <v>0.155</v>
      </c>
      <c r="AI86" s="36">
        <v>0.16600000000000001</v>
      </c>
      <c r="AJ86" s="36">
        <v>0.17299999999999999</v>
      </c>
      <c r="AK86" s="36">
        <v>0.17100000000000001</v>
      </c>
      <c r="AL86" s="36">
        <v>0.34300000000000003</v>
      </c>
      <c r="AM86" s="36">
        <v>0.318</v>
      </c>
      <c r="AN86" s="36">
        <v>0.28000000000000003</v>
      </c>
      <c r="AO86" s="36">
        <v>0.20599999999999999</v>
      </c>
      <c r="AP86" s="36">
        <v>0.26500000000000001</v>
      </c>
      <c r="AQ86" s="36">
        <v>0.27300000000000002</v>
      </c>
      <c r="AR86" s="36">
        <v>0.245</v>
      </c>
      <c r="AS86" s="36" t="s">
        <v>38</v>
      </c>
      <c r="AT86" s="36">
        <v>0.26100000000000001</v>
      </c>
      <c r="AU86" s="36">
        <v>0.18099999999999999</v>
      </c>
      <c r="AV86" s="36">
        <v>0.157</v>
      </c>
      <c r="AW86" s="36">
        <v>0.14399999999999999</v>
      </c>
      <c r="AX86" s="36">
        <v>0.128</v>
      </c>
      <c r="AY86" s="36">
        <v>0.22600000000000001</v>
      </c>
      <c r="AZ86" s="36">
        <v>0.16600000000000001</v>
      </c>
      <c r="BA86" s="36">
        <v>0.22500000000000001</v>
      </c>
      <c r="BB86" s="37">
        <v>0.17449999999999999</v>
      </c>
      <c r="BC86" s="36">
        <v>0.24399999999999999</v>
      </c>
      <c r="BD86" s="37">
        <v>0.26150000000000001</v>
      </c>
      <c r="BE86" s="36" t="s">
        <v>38</v>
      </c>
      <c r="BF86" s="37">
        <v>0.16099999999999998</v>
      </c>
      <c r="BG86" s="36">
        <v>0.251</v>
      </c>
      <c r="BH86" s="38">
        <v>0.2535</v>
      </c>
      <c r="BI86" s="38">
        <v>0.29449999999999998</v>
      </c>
      <c r="BJ86" s="38">
        <v>0.2525</v>
      </c>
      <c r="BK86" s="38">
        <v>0.27150000000000002</v>
      </c>
      <c r="BL86" s="38">
        <v>0.27949999999999997</v>
      </c>
      <c r="BM86" s="38">
        <v>0.29649999999999999</v>
      </c>
      <c r="BN86" s="38" t="s">
        <v>38</v>
      </c>
      <c r="BO86" s="40">
        <v>0.28449999999999998</v>
      </c>
      <c r="BP86" s="38">
        <v>0.3085</v>
      </c>
      <c r="BQ86" s="38">
        <v>0.20850000000000002</v>
      </c>
      <c r="BR86" s="41">
        <v>0.2495</v>
      </c>
      <c r="BS86" s="47" t="s">
        <v>38</v>
      </c>
      <c r="BT86" s="41">
        <v>0.18</v>
      </c>
      <c r="BU86" s="42">
        <v>0.17749999999999999</v>
      </c>
      <c r="BV86" s="41">
        <v>0.1615</v>
      </c>
      <c r="BW86" s="42" t="s">
        <v>38</v>
      </c>
      <c r="BX86" s="41" t="s">
        <v>38</v>
      </c>
      <c r="BY86" s="85">
        <f>(0.287+0.293)/2</f>
        <v>0.28999999999999998</v>
      </c>
      <c r="BZ86" s="85">
        <f>(0.252+0.258)/2</f>
        <v>0.255</v>
      </c>
      <c r="CA86" s="89">
        <v>0.36399999999999999</v>
      </c>
    </row>
    <row r="87" spans="1:79">
      <c r="A87" s="21" t="s">
        <v>30</v>
      </c>
      <c r="B87" s="82">
        <v>254540.82258800001</v>
      </c>
      <c r="C87" s="82">
        <v>4505618.2169500003</v>
      </c>
      <c r="D87" s="19" t="s">
        <v>38</v>
      </c>
      <c r="E87" s="19">
        <v>0.29249999999999998</v>
      </c>
      <c r="F87" s="19">
        <v>0.27300000000000002</v>
      </c>
      <c r="G87" s="19">
        <v>0.27900000000000003</v>
      </c>
      <c r="H87" s="19">
        <v>0.2225</v>
      </c>
      <c r="I87" s="19">
        <v>0.2165</v>
      </c>
      <c r="J87" s="19">
        <v>0.18149999999999999</v>
      </c>
      <c r="K87" s="19">
        <v>0.14000000000000001</v>
      </c>
      <c r="L87" s="19">
        <v>0.13100000000000001</v>
      </c>
      <c r="M87" s="19">
        <v>0.128</v>
      </c>
      <c r="N87" s="16">
        <v>0.159</v>
      </c>
      <c r="O87" s="16">
        <v>0.13150000000000001</v>
      </c>
      <c r="P87" s="23" t="s">
        <v>38</v>
      </c>
      <c r="Q87" s="16">
        <v>0.216</v>
      </c>
      <c r="R87" s="16" t="s">
        <v>38</v>
      </c>
      <c r="S87" s="16">
        <v>0.1865</v>
      </c>
      <c r="T87" s="36">
        <v>0.34</v>
      </c>
      <c r="U87" s="36">
        <v>0.32800000000000001</v>
      </c>
      <c r="V87" s="36">
        <v>0.33300000000000002</v>
      </c>
      <c r="W87" s="36">
        <v>0.39800000000000002</v>
      </c>
      <c r="X87" s="36">
        <v>0.30299999999999999</v>
      </c>
      <c r="Y87" s="36" t="s">
        <v>38</v>
      </c>
      <c r="Z87" s="36">
        <v>0.311</v>
      </c>
      <c r="AA87" s="36">
        <v>0.36299999999999999</v>
      </c>
      <c r="AB87" s="36">
        <v>0.32200000000000001</v>
      </c>
      <c r="AC87" s="36">
        <v>0.30499999999999999</v>
      </c>
      <c r="AD87" s="36">
        <v>0.30099999999999999</v>
      </c>
      <c r="AE87" s="36" t="s">
        <v>38</v>
      </c>
      <c r="AF87" s="36">
        <v>0.19500000000000001</v>
      </c>
      <c r="AG87" s="36">
        <v>0.20200000000000001</v>
      </c>
      <c r="AH87" s="36">
        <v>0.161</v>
      </c>
      <c r="AI87" s="36" t="s">
        <v>38</v>
      </c>
      <c r="AJ87" s="36" t="s">
        <v>38</v>
      </c>
      <c r="AK87" s="36">
        <v>0.14299999999999999</v>
      </c>
      <c r="AL87" s="36" t="s">
        <v>38</v>
      </c>
      <c r="AM87" s="36">
        <v>0.32600000000000001</v>
      </c>
      <c r="AN87" s="36">
        <v>0.28999999999999998</v>
      </c>
      <c r="AO87" s="36" t="s">
        <v>38</v>
      </c>
      <c r="AP87" s="36" t="s">
        <v>38</v>
      </c>
      <c r="AQ87" s="36">
        <v>0.27800000000000002</v>
      </c>
      <c r="AR87" s="36" t="s">
        <v>38</v>
      </c>
      <c r="AS87" s="36" t="s">
        <v>38</v>
      </c>
      <c r="AT87" s="36" t="s">
        <v>38</v>
      </c>
      <c r="AU87" s="36">
        <v>0.17399999999999999</v>
      </c>
      <c r="AV87" s="36" t="s">
        <v>38</v>
      </c>
      <c r="AW87" s="36" t="s">
        <v>38</v>
      </c>
      <c r="AX87" s="36" t="s">
        <v>38</v>
      </c>
      <c r="AY87" s="36">
        <v>0.152</v>
      </c>
      <c r="AZ87" s="36">
        <v>0.13400000000000001</v>
      </c>
      <c r="BA87" s="36">
        <v>0.217</v>
      </c>
      <c r="BB87" s="37">
        <v>0.16</v>
      </c>
      <c r="BC87" s="36" t="s">
        <v>38</v>
      </c>
      <c r="BD87" s="37">
        <v>0.27</v>
      </c>
      <c r="BE87" s="36" t="s">
        <v>38</v>
      </c>
      <c r="BF87" s="37">
        <v>0.26200000000000001</v>
      </c>
      <c r="BG87" s="36">
        <v>0.25600000000000001</v>
      </c>
      <c r="BH87" s="38" t="s">
        <v>38</v>
      </c>
      <c r="BI87" s="38" t="s">
        <v>38</v>
      </c>
      <c r="BJ87" s="38" t="s">
        <v>38</v>
      </c>
      <c r="BK87" s="38">
        <v>0.25900000000000001</v>
      </c>
      <c r="BL87" s="38" t="s">
        <v>38</v>
      </c>
      <c r="BM87" s="38" t="s">
        <v>38</v>
      </c>
      <c r="BN87" s="38" t="s">
        <v>38</v>
      </c>
      <c r="BO87" s="38" t="s">
        <v>38</v>
      </c>
      <c r="BP87" s="38" t="s">
        <v>38</v>
      </c>
      <c r="BQ87" s="38">
        <v>0.19950000000000001</v>
      </c>
      <c r="BR87" s="41">
        <v>0.24049999999999999</v>
      </c>
      <c r="BS87" s="47" t="s">
        <v>38</v>
      </c>
      <c r="BT87" s="41">
        <v>0.17649999999999999</v>
      </c>
      <c r="BU87" s="42">
        <v>0.20250000000000001</v>
      </c>
      <c r="BV87" s="41" t="s">
        <v>38</v>
      </c>
      <c r="BW87" s="42">
        <v>0.24</v>
      </c>
      <c r="BX87" s="41" t="s">
        <v>38</v>
      </c>
      <c r="BY87" s="85">
        <f>(0.28+0.307)/2</f>
        <v>0.29349999999999998</v>
      </c>
      <c r="BZ87" s="85">
        <f>(0.311+0.292)/2</f>
        <v>0.30149999999999999</v>
      </c>
      <c r="CA87" s="89">
        <v>0.41299999999999998</v>
      </c>
    </row>
    <row r="88" spans="1:79">
      <c r="A88" s="21" t="s">
        <v>31</v>
      </c>
      <c r="B88" s="82">
        <v>254538.99475700001</v>
      </c>
      <c r="C88" s="82">
        <v>4505617.5153299998</v>
      </c>
      <c r="D88" s="19" t="s">
        <v>38</v>
      </c>
      <c r="E88" s="19">
        <v>0.26900000000000002</v>
      </c>
      <c r="F88" s="19">
        <v>0.25600000000000001</v>
      </c>
      <c r="G88" s="19">
        <v>0.28249999999999997</v>
      </c>
      <c r="H88" s="19">
        <v>0.216</v>
      </c>
      <c r="I88" s="19">
        <v>0.214</v>
      </c>
      <c r="J88" s="19">
        <v>0.17049999999999998</v>
      </c>
      <c r="K88" s="19">
        <v>0.11</v>
      </c>
      <c r="L88" s="19">
        <v>0.184</v>
      </c>
      <c r="M88" s="19">
        <v>9.4500000000000001E-2</v>
      </c>
      <c r="N88" s="16">
        <v>0.1245</v>
      </c>
      <c r="O88" s="16">
        <v>9.6500000000000002E-2</v>
      </c>
      <c r="P88" s="23" t="s">
        <v>38</v>
      </c>
      <c r="Q88" s="16">
        <v>0.182</v>
      </c>
      <c r="R88" s="16" t="s">
        <v>38</v>
      </c>
      <c r="S88" s="16" t="s">
        <v>38</v>
      </c>
      <c r="T88" s="36">
        <v>0.33500000000000002</v>
      </c>
      <c r="U88" s="36">
        <v>0.33700000000000002</v>
      </c>
      <c r="V88" s="36">
        <v>0.33500000000000002</v>
      </c>
      <c r="W88" s="36">
        <v>0.36</v>
      </c>
      <c r="X88" s="36">
        <v>0.27600000000000002</v>
      </c>
      <c r="Y88" s="36" t="s">
        <v>38</v>
      </c>
      <c r="Z88" s="36">
        <v>0.26400000000000001</v>
      </c>
      <c r="AA88" s="36">
        <v>0.28999999999999998</v>
      </c>
      <c r="AB88" s="36">
        <v>0.32</v>
      </c>
      <c r="AC88" s="36">
        <v>0.30399999999999999</v>
      </c>
      <c r="AD88" s="36">
        <v>0.29799999999999999</v>
      </c>
      <c r="AE88" s="36" t="s">
        <v>38</v>
      </c>
      <c r="AF88" s="36">
        <v>0.184</v>
      </c>
      <c r="AG88" s="36">
        <v>0.161</v>
      </c>
      <c r="AH88" s="36">
        <v>0.13200000000000001</v>
      </c>
      <c r="AI88" s="36" t="s">
        <v>38</v>
      </c>
      <c r="AJ88" s="36" t="s">
        <v>38</v>
      </c>
      <c r="AK88" s="36">
        <v>0.13900000000000001</v>
      </c>
      <c r="AL88" s="36" t="s">
        <v>38</v>
      </c>
      <c r="AM88" s="36">
        <v>0.41</v>
      </c>
      <c r="AN88" s="36">
        <v>0.27800000000000002</v>
      </c>
      <c r="AO88" s="36" t="s">
        <v>38</v>
      </c>
      <c r="AP88" s="36" t="s">
        <v>38</v>
      </c>
      <c r="AQ88" s="36">
        <v>0.26600000000000001</v>
      </c>
      <c r="AR88" s="36" t="s">
        <v>38</v>
      </c>
      <c r="AS88" s="36" t="s">
        <v>38</v>
      </c>
      <c r="AT88" s="36" t="s">
        <v>38</v>
      </c>
      <c r="AU88" s="36">
        <v>0.152</v>
      </c>
      <c r="AV88" s="36" t="s">
        <v>38</v>
      </c>
      <c r="AW88" s="36" t="s">
        <v>38</v>
      </c>
      <c r="AX88" s="36" t="s">
        <v>38</v>
      </c>
      <c r="AY88" s="36">
        <v>0.11</v>
      </c>
      <c r="AZ88" s="36">
        <v>0.115</v>
      </c>
      <c r="BA88" s="36">
        <v>0.16300000000000001</v>
      </c>
      <c r="BB88" s="37">
        <v>0.159</v>
      </c>
      <c r="BC88" s="36">
        <v>0.22</v>
      </c>
      <c r="BD88" s="37">
        <v>0.24149999999999999</v>
      </c>
      <c r="BE88" s="36" t="s">
        <v>38</v>
      </c>
      <c r="BF88" s="37">
        <v>0.24299999999999999</v>
      </c>
      <c r="BG88" s="36">
        <v>0.22799999999999998</v>
      </c>
      <c r="BH88" s="38" t="s">
        <v>38</v>
      </c>
      <c r="BI88" s="38" t="s">
        <v>38</v>
      </c>
      <c r="BJ88" s="38" t="s">
        <v>38</v>
      </c>
      <c r="BK88" s="38">
        <v>0.24249999999999999</v>
      </c>
      <c r="BL88" s="38" t="s">
        <v>38</v>
      </c>
      <c r="BM88" s="38" t="s">
        <v>38</v>
      </c>
      <c r="BN88" s="38" t="s">
        <v>38</v>
      </c>
      <c r="BO88" s="38" t="s">
        <v>38</v>
      </c>
      <c r="BP88" s="38" t="s">
        <v>38</v>
      </c>
      <c r="BQ88" s="38">
        <v>0.18049999999999999</v>
      </c>
      <c r="BR88" s="41">
        <v>0.23050000000000001</v>
      </c>
      <c r="BS88" s="47" t="s">
        <v>38</v>
      </c>
      <c r="BT88" s="41">
        <v>0.16800000000000001</v>
      </c>
      <c r="BU88" s="42">
        <v>0.20300000000000001</v>
      </c>
      <c r="BV88" s="41" t="s">
        <v>38</v>
      </c>
      <c r="BW88" s="42" t="s">
        <v>38</v>
      </c>
      <c r="BX88" s="41" t="s">
        <v>38</v>
      </c>
      <c r="BY88" s="85">
        <f>(0.27+0.316)/2</f>
        <v>0.29300000000000004</v>
      </c>
      <c r="BZ88" s="85">
        <f>(0.271+0.261)/2</f>
        <v>0.26600000000000001</v>
      </c>
      <c r="CA88" s="89">
        <v>0.36649999999999999</v>
      </c>
    </row>
    <row r="89" spans="1:79">
      <c r="A89" s="21" t="s">
        <v>32</v>
      </c>
      <c r="B89" s="82">
        <v>254538.198217</v>
      </c>
      <c r="C89" s="82">
        <v>4505619.3421200002</v>
      </c>
      <c r="D89" s="19" t="s">
        <v>38</v>
      </c>
      <c r="E89" s="19">
        <v>0.22700000000000001</v>
      </c>
      <c r="F89" s="19">
        <v>0.23100000000000001</v>
      </c>
      <c r="G89" s="19">
        <v>0.26150000000000001</v>
      </c>
      <c r="H89" s="19">
        <v>0.18</v>
      </c>
      <c r="I89" s="19">
        <v>0.1865</v>
      </c>
      <c r="J89" s="19">
        <v>0.14499999999999999</v>
      </c>
      <c r="K89" s="19">
        <v>9.2999999999999999E-2</v>
      </c>
      <c r="L89" s="19">
        <v>0.23149999999999998</v>
      </c>
      <c r="M89" s="19">
        <v>7.9000000000000001E-2</v>
      </c>
      <c r="N89" s="16">
        <v>0.1205</v>
      </c>
      <c r="O89" s="16">
        <v>9.0499999999999997E-2</v>
      </c>
      <c r="P89" s="23" t="s">
        <v>38</v>
      </c>
      <c r="Q89" s="16">
        <v>0.188</v>
      </c>
      <c r="R89" s="16" t="s">
        <v>38</v>
      </c>
      <c r="S89" s="16" t="s">
        <v>38</v>
      </c>
      <c r="T89" s="36">
        <v>0.28799999999999998</v>
      </c>
      <c r="U89" s="36">
        <v>0.316</v>
      </c>
      <c r="V89" s="36">
        <v>0.30499999999999999</v>
      </c>
      <c r="W89" s="36">
        <v>0.37</v>
      </c>
      <c r="X89" s="36">
        <v>0.25</v>
      </c>
      <c r="Y89" s="36" t="s">
        <v>38</v>
      </c>
      <c r="Z89" s="36">
        <v>0.26</v>
      </c>
      <c r="AA89" s="36">
        <v>0.28299999999999997</v>
      </c>
      <c r="AB89" s="36">
        <v>0.28599999999999998</v>
      </c>
      <c r="AC89" s="36">
        <v>0.27800000000000002</v>
      </c>
      <c r="AD89" s="36">
        <v>0.28199999999999997</v>
      </c>
      <c r="AE89" s="36" t="s">
        <v>38</v>
      </c>
      <c r="AF89" s="36">
        <v>0.16</v>
      </c>
      <c r="AG89" s="36">
        <v>0.16</v>
      </c>
      <c r="AH89" s="36">
        <v>0.105</v>
      </c>
      <c r="AI89" s="36" t="s">
        <v>38</v>
      </c>
      <c r="AJ89" s="36" t="s">
        <v>38</v>
      </c>
      <c r="AK89" s="36">
        <v>0.13300000000000001</v>
      </c>
      <c r="AL89" s="36" t="s">
        <v>38</v>
      </c>
      <c r="AM89" s="36">
        <v>0.35</v>
      </c>
      <c r="AN89" s="36">
        <v>0.26300000000000001</v>
      </c>
      <c r="AO89" s="36" t="s">
        <v>38</v>
      </c>
      <c r="AP89" s="36" t="s">
        <v>38</v>
      </c>
      <c r="AQ89" s="36">
        <v>0.23100000000000001</v>
      </c>
      <c r="AR89" s="36" t="s">
        <v>38</v>
      </c>
      <c r="AS89" s="36" t="s">
        <v>38</v>
      </c>
      <c r="AT89" s="36" t="s">
        <v>38</v>
      </c>
      <c r="AU89" s="36">
        <v>0.13600000000000001</v>
      </c>
      <c r="AV89" s="36" t="s">
        <v>38</v>
      </c>
      <c r="AW89" s="36" t="s">
        <v>38</v>
      </c>
      <c r="AX89" s="36" t="s">
        <v>38</v>
      </c>
      <c r="AY89" s="36">
        <v>0.215</v>
      </c>
      <c r="AZ89" s="36">
        <v>0.189</v>
      </c>
      <c r="BA89" s="36">
        <v>0.13</v>
      </c>
      <c r="BB89" s="37">
        <v>0.13250000000000001</v>
      </c>
      <c r="BC89" s="36" t="s">
        <v>38</v>
      </c>
      <c r="BD89" s="37">
        <v>0.20749999999999999</v>
      </c>
      <c r="BE89" s="36" t="s">
        <v>38</v>
      </c>
      <c r="BF89" s="37">
        <v>0.20849999999999999</v>
      </c>
      <c r="BG89" s="36">
        <v>0.20800000000000002</v>
      </c>
      <c r="BH89" s="38" t="s">
        <v>38</v>
      </c>
      <c r="BI89" s="38" t="s">
        <v>38</v>
      </c>
      <c r="BJ89" s="38" t="s">
        <v>38</v>
      </c>
      <c r="BK89" s="38">
        <v>0.20300000000000001</v>
      </c>
      <c r="BL89" s="38" t="s">
        <v>38</v>
      </c>
      <c r="BM89" s="38" t="s">
        <v>38</v>
      </c>
      <c r="BN89" s="38" t="s">
        <v>38</v>
      </c>
      <c r="BO89" s="38" t="s">
        <v>38</v>
      </c>
      <c r="BP89" s="38" t="s">
        <v>38</v>
      </c>
      <c r="BQ89" s="38">
        <v>0.17399999999999999</v>
      </c>
      <c r="BR89" s="41">
        <v>0.2165</v>
      </c>
      <c r="BS89" s="47" t="s">
        <v>38</v>
      </c>
      <c r="BT89" s="41">
        <v>0.1535</v>
      </c>
      <c r="BU89" s="42">
        <v>0.17599999999999999</v>
      </c>
      <c r="BV89" s="41" t="s">
        <v>38</v>
      </c>
      <c r="BW89" s="42" t="s">
        <v>38</v>
      </c>
      <c r="BX89" s="41" t="s">
        <v>38</v>
      </c>
      <c r="BY89" s="85">
        <f>(0.297+0.293)/2</f>
        <v>0.29499999999999998</v>
      </c>
      <c r="BZ89" s="85">
        <f>(0.257+0.284)/2</f>
        <v>0.27049999999999996</v>
      </c>
      <c r="CA89" s="89">
        <v>0.36749999999999999</v>
      </c>
    </row>
    <row r="90" spans="1:79">
      <c r="A90" s="21" t="s">
        <v>33</v>
      </c>
      <c r="B90" s="82">
        <v>254539.991026</v>
      </c>
      <c r="C90" s="82">
        <v>4505620.2901600003</v>
      </c>
      <c r="D90" s="19" t="s">
        <v>38</v>
      </c>
      <c r="E90" s="19">
        <v>0.23050000000000001</v>
      </c>
      <c r="F90" s="19">
        <v>0.20949999999999999</v>
      </c>
      <c r="G90" s="19">
        <v>0.22799999999999998</v>
      </c>
      <c r="H90" s="19">
        <v>0.1825</v>
      </c>
      <c r="I90" s="19">
        <v>0.18149999999999999</v>
      </c>
      <c r="J90" s="19">
        <v>0.14350000000000002</v>
      </c>
      <c r="K90" s="19">
        <v>9.9500000000000005E-2</v>
      </c>
      <c r="L90" s="19">
        <v>0.16500000000000001</v>
      </c>
      <c r="M90" s="19">
        <v>7.3999999999999996E-2</v>
      </c>
      <c r="N90" s="16">
        <v>9.9000000000000005E-2</v>
      </c>
      <c r="O90" s="16">
        <v>8.7999999999999995E-2</v>
      </c>
      <c r="P90" s="16">
        <v>9.2999999999999999E-2</v>
      </c>
      <c r="Q90" s="16">
        <v>0.17149999999999999</v>
      </c>
      <c r="R90" s="16" t="s">
        <v>38</v>
      </c>
      <c r="S90" s="16" t="s">
        <v>38</v>
      </c>
      <c r="T90" s="36">
        <v>0.253</v>
      </c>
      <c r="U90" s="36">
        <v>0.254</v>
      </c>
      <c r="V90" s="36">
        <v>0.28100000000000003</v>
      </c>
      <c r="W90" s="36">
        <v>0.29299999999999998</v>
      </c>
      <c r="X90" s="36">
        <v>0.216</v>
      </c>
      <c r="Y90" s="36" t="s">
        <v>38</v>
      </c>
      <c r="Z90" s="36">
        <v>0.24199999999999999</v>
      </c>
      <c r="AA90" s="36">
        <v>0.27800000000000002</v>
      </c>
      <c r="AB90" s="36">
        <v>0.26200000000000001</v>
      </c>
      <c r="AC90" s="36">
        <v>0.24099999999999999</v>
      </c>
      <c r="AD90" s="36">
        <v>0.24299999999999999</v>
      </c>
      <c r="AE90" s="36" t="s">
        <v>38</v>
      </c>
      <c r="AF90" s="36">
        <v>0.16300000000000001</v>
      </c>
      <c r="AG90" s="36">
        <v>0.16600000000000001</v>
      </c>
      <c r="AH90" s="36">
        <v>0.108</v>
      </c>
      <c r="AI90" s="36" t="s">
        <v>38</v>
      </c>
      <c r="AJ90" s="36" t="s">
        <v>38</v>
      </c>
      <c r="AK90" s="36">
        <v>0.106</v>
      </c>
      <c r="AL90" s="36" t="s">
        <v>38</v>
      </c>
      <c r="AM90" s="36">
        <v>0.36099999999999999</v>
      </c>
      <c r="AN90" s="36">
        <v>0.23599999999999999</v>
      </c>
      <c r="AO90" s="36" t="s">
        <v>38</v>
      </c>
      <c r="AP90" s="36" t="s">
        <v>38</v>
      </c>
      <c r="AQ90" s="36">
        <v>0.192</v>
      </c>
      <c r="AR90" s="36" t="s">
        <v>38</v>
      </c>
      <c r="AS90" s="36" t="s">
        <v>38</v>
      </c>
      <c r="AT90" s="36" t="s">
        <v>38</v>
      </c>
      <c r="AU90" s="36">
        <v>0.12</v>
      </c>
      <c r="AV90" s="36" t="s">
        <v>38</v>
      </c>
      <c r="AW90" s="36" t="s">
        <v>38</v>
      </c>
      <c r="AX90" s="36" t="s">
        <v>38</v>
      </c>
      <c r="AY90" s="36">
        <v>0.20499999999999999</v>
      </c>
      <c r="AZ90" s="36">
        <v>0.17699999999999999</v>
      </c>
      <c r="BA90" s="36">
        <v>0.23400000000000001</v>
      </c>
      <c r="BB90" s="37">
        <v>9.6000000000000002E-2</v>
      </c>
      <c r="BC90" s="36">
        <v>0.17449999999999999</v>
      </c>
      <c r="BD90" s="37">
        <v>0.16599999999999998</v>
      </c>
      <c r="BE90" s="36" t="s">
        <v>38</v>
      </c>
      <c r="BF90" s="37">
        <v>9.4E-2</v>
      </c>
      <c r="BG90" s="36">
        <v>0.191</v>
      </c>
      <c r="BH90" s="38" t="s">
        <v>38</v>
      </c>
      <c r="BI90" s="38" t="s">
        <v>38</v>
      </c>
      <c r="BJ90" s="38" t="s">
        <v>38</v>
      </c>
      <c r="BK90" s="38">
        <v>0.1885</v>
      </c>
      <c r="BL90" s="38" t="s">
        <v>38</v>
      </c>
      <c r="BM90" s="38" t="s">
        <v>38</v>
      </c>
      <c r="BN90" s="38" t="s">
        <v>38</v>
      </c>
      <c r="BO90" s="38" t="s">
        <v>38</v>
      </c>
      <c r="BP90" s="38" t="s">
        <v>38</v>
      </c>
      <c r="BQ90" s="38">
        <v>0.1555</v>
      </c>
      <c r="BR90" s="41">
        <v>0.187</v>
      </c>
      <c r="BS90" s="47" t="s">
        <v>38</v>
      </c>
      <c r="BT90" s="41">
        <v>0.126</v>
      </c>
      <c r="BU90" s="42">
        <v>0.1215</v>
      </c>
      <c r="BV90" s="41" t="s">
        <v>38</v>
      </c>
      <c r="BW90" s="42" t="s">
        <v>38</v>
      </c>
      <c r="BX90" s="41" t="s">
        <v>38</v>
      </c>
      <c r="BY90" s="85">
        <f>(0.273+0.273)/2</f>
        <v>0.27300000000000002</v>
      </c>
      <c r="BZ90" s="85">
        <f>(0.258+0.261)/2</f>
        <v>0.25950000000000001</v>
      </c>
      <c r="CA90" s="89">
        <v>0.35899999999999999</v>
      </c>
    </row>
    <row r="91" spans="1:79">
      <c r="A91" s="21">
        <v>62</v>
      </c>
      <c r="B91" s="82">
        <v>254529.63870800001</v>
      </c>
      <c r="C91" s="82">
        <v>4505611.6253199996</v>
      </c>
      <c r="D91" s="19" t="s">
        <v>38</v>
      </c>
      <c r="E91" s="19" t="s">
        <v>38</v>
      </c>
      <c r="F91" s="19" t="s">
        <v>38</v>
      </c>
      <c r="G91" s="19" t="s">
        <v>38</v>
      </c>
      <c r="H91" s="19" t="s">
        <v>38</v>
      </c>
      <c r="I91" s="19" t="s">
        <v>38</v>
      </c>
      <c r="J91" s="19" t="s">
        <v>38</v>
      </c>
      <c r="K91" s="19" t="s">
        <v>38</v>
      </c>
      <c r="L91" s="19" t="s">
        <v>38</v>
      </c>
      <c r="M91" s="19" t="s">
        <v>38</v>
      </c>
      <c r="N91" s="23" t="s">
        <v>38</v>
      </c>
      <c r="O91" s="23" t="s">
        <v>38</v>
      </c>
      <c r="P91" s="23" t="s">
        <v>38</v>
      </c>
      <c r="Q91" s="23" t="s">
        <v>38</v>
      </c>
      <c r="R91" s="23" t="s">
        <v>38</v>
      </c>
      <c r="S91" s="23" t="s">
        <v>38</v>
      </c>
      <c r="T91" s="23" t="s">
        <v>38</v>
      </c>
      <c r="U91" s="23" t="s">
        <v>38</v>
      </c>
      <c r="V91" s="23" t="s">
        <v>38</v>
      </c>
      <c r="W91" s="23" t="s">
        <v>38</v>
      </c>
      <c r="X91" s="23" t="s">
        <v>38</v>
      </c>
      <c r="Y91" s="23" t="s">
        <v>38</v>
      </c>
      <c r="Z91" s="23" t="s">
        <v>38</v>
      </c>
      <c r="AA91" s="23" t="s">
        <v>38</v>
      </c>
      <c r="AB91" s="23" t="s">
        <v>38</v>
      </c>
      <c r="AC91" s="23" t="s">
        <v>38</v>
      </c>
      <c r="AD91" s="23" t="s">
        <v>38</v>
      </c>
      <c r="AE91" s="23" t="s">
        <v>38</v>
      </c>
      <c r="AF91" s="23" t="s">
        <v>38</v>
      </c>
      <c r="AG91" s="23" t="s">
        <v>38</v>
      </c>
      <c r="AH91" s="23" t="s">
        <v>38</v>
      </c>
      <c r="AI91" s="23" t="s">
        <v>38</v>
      </c>
      <c r="AJ91" s="23" t="s">
        <v>38</v>
      </c>
      <c r="AK91" s="23" t="s">
        <v>38</v>
      </c>
      <c r="AL91" s="23" t="s">
        <v>38</v>
      </c>
      <c r="AM91" s="23" t="s">
        <v>38</v>
      </c>
      <c r="AN91" s="23" t="s">
        <v>38</v>
      </c>
      <c r="AO91" s="23" t="s">
        <v>38</v>
      </c>
      <c r="AP91" s="23" t="s">
        <v>38</v>
      </c>
      <c r="AQ91" s="23" t="s">
        <v>38</v>
      </c>
      <c r="AR91" s="23" t="s">
        <v>38</v>
      </c>
      <c r="AS91" s="23" t="s">
        <v>38</v>
      </c>
      <c r="AT91" s="23" t="s">
        <v>38</v>
      </c>
      <c r="AU91" s="23" t="s">
        <v>38</v>
      </c>
      <c r="AV91" s="23" t="s">
        <v>38</v>
      </c>
      <c r="AW91" s="23" t="s">
        <v>38</v>
      </c>
      <c r="AX91" s="23" t="s">
        <v>38</v>
      </c>
      <c r="AY91" s="23" t="s">
        <v>38</v>
      </c>
      <c r="AZ91" s="23" t="s">
        <v>38</v>
      </c>
      <c r="BA91" s="23" t="s">
        <v>38</v>
      </c>
      <c r="BB91" s="23" t="s">
        <v>38</v>
      </c>
      <c r="BC91" s="23" t="s">
        <v>38</v>
      </c>
      <c r="BD91" s="23" t="s">
        <v>38</v>
      </c>
      <c r="BE91" s="23" t="s">
        <v>38</v>
      </c>
      <c r="BF91" s="23" t="s">
        <v>38</v>
      </c>
      <c r="BG91" s="23" t="s">
        <v>38</v>
      </c>
      <c r="BH91" s="38" t="s">
        <v>38</v>
      </c>
      <c r="BI91" s="38" t="s">
        <v>38</v>
      </c>
      <c r="BJ91" s="38" t="s">
        <v>38</v>
      </c>
      <c r="BK91" s="38" t="s">
        <v>38</v>
      </c>
      <c r="BL91" s="38" t="s">
        <v>38</v>
      </c>
      <c r="BM91" s="38" t="s">
        <v>38</v>
      </c>
      <c r="BN91" s="38" t="s">
        <v>38</v>
      </c>
      <c r="BO91" s="38" t="s">
        <v>38</v>
      </c>
      <c r="BP91" s="38" t="s">
        <v>38</v>
      </c>
      <c r="BQ91" s="38" t="s">
        <v>38</v>
      </c>
      <c r="BR91" s="38" t="s">
        <v>38</v>
      </c>
      <c r="BS91" s="38" t="s">
        <v>38</v>
      </c>
      <c r="BT91" s="38" t="s">
        <v>38</v>
      </c>
      <c r="BU91" s="38" t="s">
        <v>38</v>
      </c>
      <c r="BV91" s="38" t="s">
        <v>38</v>
      </c>
      <c r="BW91" s="47" t="s">
        <v>38</v>
      </c>
      <c r="BX91" s="41" t="s">
        <v>38</v>
      </c>
      <c r="BY91" s="69" t="s">
        <v>38</v>
      </c>
      <c r="BZ91" s="69" t="s">
        <v>38</v>
      </c>
      <c r="CA91" s="89" t="s">
        <v>38</v>
      </c>
    </row>
    <row r="92" spans="1:79">
      <c r="A92" s="21">
        <v>63</v>
      </c>
      <c r="B92" s="82">
        <v>254551.13957</v>
      </c>
      <c r="C92" s="82">
        <v>4505625.0883400002</v>
      </c>
      <c r="D92" s="19" t="s">
        <v>38</v>
      </c>
      <c r="E92" s="19" t="s">
        <v>38</v>
      </c>
      <c r="F92" s="19" t="s">
        <v>38</v>
      </c>
      <c r="G92" s="19" t="s">
        <v>38</v>
      </c>
      <c r="H92" s="19" t="s">
        <v>38</v>
      </c>
      <c r="I92" s="19" t="s">
        <v>38</v>
      </c>
      <c r="J92" s="19" t="s">
        <v>38</v>
      </c>
      <c r="K92" s="19" t="s">
        <v>38</v>
      </c>
      <c r="L92" s="19" t="s">
        <v>38</v>
      </c>
      <c r="M92" s="19" t="s">
        <v>38</v>
      </c>
      <c r="N92" s="23" t="s">
        <v>38</v>
      </c>
      <c r="O92" s="23" t="s">
        <v>38</v>
      </c>
      <c r="P92" s="23" t="s">
        <v>38</v>
      </c>
      <c r="Q92" s="23" t="s">
        <v>38</v>
      </c>
      <c r="R92" s="23" t="s">
        <v>38</v>
      </c>
      <c r="S92" s="23" t="s">
        <v>38</v>
      </c>
      <c r="T92" s="23" t="s">
        <v>38</v>
      </c>
      <c r="U92" s="23" t="s">
        <v>38</v>
      </c>
      <c r="V92" s="23" t="s">
        <v>38</v>
      </c>
      <c r="W92" s="23" t="s">
        <v>38</v>
      </c>
      <c r="X92" s="23" t="s">
        <v>38</v>
      </c>
      <c r="Y92" s="23" t="s">
        <v>38</v>
      </c>
      <c r="Z92" s="23" t="s">
        <v>38</v>
      </c>
      <c r="AA92" s="23" t="s">
        <v>38</v>
      </c>
      <c r="AB92" s="23" t="s">
        <v>38</v>
      </c>
      <c r="AC92" s="23" t="s">
        <v>38</v>
      </c>
      <c r="AD92" s="23" t="s">
        <v>38</v>
      </c>
      <c r="AE92" s="23" t="s">
        <v>38</v>
      </c>
      <c r="AF92" s="23" t="s">
        <v>38</v>
      </c>
      <c r="AG92" s="23" t="s">
        <v>38</v>
      </c>
      <c r="AH92" s="23" t="s">
        <v>38</v>
      </c>
      <c r="AI92" s="23" t="s">
        <v>38</v>
      </c>
      <c r="AJ92" s="23" t="s">
        <v>38</v>
      </c>
      <c r="AK92" s="23" t="s">
        <v>38</v>
      </c>
      <c r="AL92" s="23" t="s">
        <v>38</v>
      </c>
      <c r="AM92" s="23" t="s">
        <v>38</v>
      </c>
      <c r="AN92" s="23" t="s">
        <v>38</v>
      </c>
      <c r="AO92" s="23" t="s">
        <v>38</v>
      </c>
      <c r="AP92" s="23" t="s">
        <v>38</v>
      </c>
      <c r="AQ92" s="23" t="s">
        <v>38</v>
      </c>
      <c r="AR92" s="23" t="s">
        <v>38</v>
      </c>
      <c r="AS92" s="23" t="s">
        <v>38</v>
      </c>
      <c r="AT92" s="23" t="s">
        <v>38</v>
      </c>
      <c r="AU92" s="23" t="s">
        <v>38</v>
      </c>
      <c r="AV92" s="23" t="s">
        <v>38</v>
      </c>
      <c r="AW92" s="23" t="s">
        <v>38</v>
      </c>
      <c r="AX92" s="23" t="s">
        <v>38</v>
      </c>
      <c r="AY92" s="23" t="s">
        <v>38</v>
      </c>
      <c r="AZ92" s="23" t="s">
        <v>38</v>
      </c>
      <c r="BA92" s="23" t="s">
        <v>38</v>
      </c>
      <c r="BB92" s="23" t="s">
        <v>38</v>
      </c>
      <c r="BC92" s="23" t="s">
        <v>38</v>
      </c>
      <c r="BD92" s="23" t="s">
        <v>38</v>
      </c>
      <c r="BE92" s="23" t="s">
        <v>38</v>
      </c>
      <c r="BF92" s="23" t="s">
        <v>38</v>
      </c>
      <c r="BG92" s="23" t="s">
        <v>38</v>
      </c>
      <c r="BH92" s="38" t="s">
        <v>38</v>
      </c>
      <c r="BI92" s="38" t="s">
        <v>38</v>
      </c>
      <c r="BJ92" s="38" t="s">
        <v>38</v>
      </c>
      <c r="BK92" s="38" t="s">
        <v>38</v>
      </c>
      <c r="BL92" s="38" t="s">
        <v>38</v>
      </c>
      <c r="BM92" s="38" t="s">
        <v>38</v>
      </c>
      <c r="BN92" s="38" t="s">
        <v>38</v>
      </c>
      <c r="BO92" s="38" t="s">
        <v>38</v>
      </c>
      <c r="BP92" s="38" t="s">
        <v>38</v>
      </c>
      <c r="BQ92" s="38" t="s">
        <v>38</v>
      </c>
      <c r="BR92" s="38" t="s">
        <v>38</v>
      </c>
      <c r="BS92" s="38" t="s">
        <v>38</v>
      </c>
      <c r="BT92" s="38" t="s">
        <v>38</v>
      </c>
      <c r="BU92" s="38" t="s">
        <v>38</v>
      </c>
      <c r="BV92" s="38" t="s">
        <v>38</v>
      </c>
      <c r="BW92" s="47" t="s">
        <v>38</v>
      </c>
      <c r="BX92" s="41" t="s">
        <v>38</v>
      </c>
      <c r="BY92" s="69" t="s">
        <v>38</v>
      </c>
      <c r="BZ92" s="69" t="s">
        <v>38</v>
      </c>
      <c r="CA92" s="89" t="s">
        <v>38</v>
      </c>
    </row>
    <row r="93" spans="1:79">
      <c r="A93" s="21">
        <v>64</v>
      </c>
      <c r="B93" s="82">
        <v>254546.275371</v>
      </c>
      <c r="C93" s="82">
        <v>4505618.8425099999</v>
      </c>
      <c r="D93" s="19" t="s">
        <v>38</v>
      </c>
      <c r="E93" s="19" t="s">
        <v>38</v>
      </c>
      <c r="F93" s="19" t="s">
        <v>38</v>
      </c>
      <c r="G93" s="19" t="s">
        <v>38</v>
      </c>
      <c r="H93" s="19" t="s">
        <v>38</v>
      </c>
      <c r="I93" s="19" t="s">
        <v>38</v>
      </c>
      <c r="J93" s="19" t="s">
        <v>38</v>
      </c>
      <c r="K93" s="19" t="s">
        <v>38</v>
      </c>
      <c r="L93" s="19" t="s">
        <v>38</v>
      </c>
      <c r="M93" s="19" t="s">
        <v>38</v>
      </c>
      <c r="N93" s="23" t="s">
        <v>38</v>
      </c>
      <c r="O93" s="23" t="s">
        <v>38</v>
      </c>
      <c r="P93" s="23" t="s">
        <v>38</v>
      </c>
      <c r="Q93" s="23" t="s">
        <v>38</v>
      </c>
      <c r="R93" s="23" t="s">
        <v>38</v>
      </c>
      <c r="S93" s="23" t="s">
        <v>38</v>
      </c>
      <c r="T93" s="23" t="s">
        <v>38</v>
      </c>
      <c r="U93" s="23" t="s">
        <v>38</v>
      </c>
      <c r="V93" s="23" t="s">
        <v>38</v>
      </c>
      <c r="W93" s="23" t="s">
        <v>38</v>
      </c>
      <c r="X93" s="23" t="s">
        <v>38</v>
      </c>
      <c r="Y93" s="23" t="s">
        <v>38</v>
      </c>
      <c r="Z93" s="23" t="s">
        <v>38</v>
      </c>
      <c r="AA93" s="23" t="s">
        <v>38</v>
      </c>
      <c r="AB93" s="23" t="s">
        <v>38</v>
      </c>
      <c r="AC93" s="23" t="s">
        <v>38</v>
      </c>
      <c r="AD93" s="23" t="s">
        <v>38</v>
      </c>
      <c r="AE93" s="23" t="s">
        <v>38</v>
      </c>
      <c r="AF93" s="23" t="s">
        <v>38</v>
      </c>
      <c r="AG93" s="23" t="s">
        <v>38</v>
      </c>
      <c r="AH93" s="23" t="s">
        <v>38</v>
      </c>
      <c r="AI93" s="23" t="s">
        <v>38</v>
      </c>
      <c r="AJ93" s="23" t="s">
        <v>38</v>
      </c>
      <c r="AK93" s="23" t="s">
        <v>38</v>
      </c>
      <c r="AL93" s="23" t="s">
        <v>38</v>
      </c>
      <c r="AM93" s="23" t="s">
        <v>38</v>
      </c>
      <c r="AN93" s="23" t="s">
        <v>38</v>
      </c>
      <c r="AO93" s="23" t="s">
        <v>38</v>
      </c>
      <c r="AP93" s="23" t="s">
        <v>38</v>
      </c>
      <c r="AQ93" s="23" t="s">
        <v>38</v>
      </c>
      <c r="AR93" s="23" t="s">
        <v>38</v>
      </c>
      <c r="AS93" s="23" t="s">
        <v>38</v>
      </c>
      <c r="AT93" s="23" t="s">
        <v>38</v>
      </c>
      <c r="AU93" s="23" t="s">
        <v>38</v>
      </c>
      <c r="AV93" s="23" t="s">
        <v>38</v>
      </c>
      <c r="AW93" s="23" t="s">
        <v>38</v>
      </c>
      <c r="AX93" s="23" t="s">
        <v>38</v>
      </c>
      <c r="AY93" s="23" t="s">
        <v>38</v>
      </c>
      <c r="AZ93" s="23" t="s">
        <v>38</v>
      </c>
      <c r="BA93" s="23" t="s">
        <v>38</v>
      </c>
      <c r="BB93" s="23" t="s">
        <v>38</v>
      </c>
      <c r="BC93" s="23" t="s">
        <v>38</v>
      </c>
      <c r="BD93" s="23" t="s">
        <v>38</v>
      </c>
      <c r="BE93" s="23" t="s">
        <v>38</v>
      </c>
      <c r="BF93" s="23" t="s">
        <v>38</v>
      </c>
      <c r="BG93" s="23" t="s">
        <v>38</v>
      </c>
      <c r="BH93" s="38" t="s">
        <v>38</v>
      </c>
      <c r="BI93" s="38" t="s">
        <v>38</v>
      </c>
      <c r="BJ93" s="38" t="s">
        <v>38</v>
      </c>
      <c r="BK93" s="38" t="s">
        <v>38</v>
      </c>
      <c r="BL93" s="38" t="s">
        <v>38</v>
      </c>
      <c r="BM93" s="38" t="s">
        <v>38</v>
      </c>
      <c r="BN93" s="38" t="s">
        <v>38</v>
      </c>
      <c r="BO93" s="38" t="s">
        <v>38</v>
      </c>
      <c r="BP93" s="38" t="s">
        <v>38</v>
      </c>
      <c r="BQ93" s="38" t="s">
        <v>38</v>
      </c>
      <c r="BR93" s="38" t="s">
        <v>38</v>
      </c>
      <c r="BS93" s="38" t="s">
        <v>38</v>
      </c>
      <c r="BT93" s="38" t="s">
        <v>38</v>
      </c>
      <c r="BU93" s="38" t="s">
        <v>38</v>
      </c>
      <c r="BV93" s="38" t="s">
        <v>38</v>
      </c>
      <c r="BW93" s="47" t="s">
        <v>38</v>
      </c>
      <c r="BX93" s="41" t="s">
        <v>38</v>
      </c>
      <c r="BY93" s="69" t="s">
        <v>38</v>
      </c>
      <c r="BZ93" s="69" t="s">
        <v>38</v>
      </c>
      <c r="CA93" s="89" t="s">
        <v>38</v>
      </c>
    </row>
    <row r="94" spans="1:79">
      <c r="A94" s="21">
        <v>65</v>
      </c>
      <c r="B94" s="82">
        <v>254565.06507300001</v>
      </c>
      <c r="C94" s="82">
        <v>4505658.6095899995</v>
      </c>
      <c r="D94" s="19">
        <v>0.31</v>
      </c>
      <c r="E94" s="19">
        <v>0.27</v>
      </c>
      <c r="F94" s="19">
        <v>0.28050000000000003</v>
      </c>
      <c r="G94" s="19">
        <v>0.29349999999999998</v>
      </c>
      <c r="H94" s="19">
        <v>0.23949999999999999</v>
      </c>
      <c r="I94" s="19">
        <v>0.23050000000000001</v>
      </c>
      <c r="J94" s="19">
        <v>0.1895</v>
      </c>
      <c r="K94" s="19">
        <v>0.128</v>
      </c>
      <c r="L94" s="19">
        <v>0.185</v>
      </c>
      <c r="M94" s="19">
        <v>0.1095</v>
      </c>
      <c r="N94" s="16">
        <v>0.1595</v>
      </c>
      <c r="O94" s="16">
        <v>0.1225</v>
      </c>
      <c r="P94" s="16">
        <v>0.1245</v>
      </c>
      <c r="Q94" s="16">
        <v>0.21149999999999999</v>
      </c>
      <c r="R94" s="16">
        <v>0.249</v>
      </c>
      <c r="S94" s="16">
        <v>0.20200000000000001</v>
      </c>
      <c r="T94" s="36">
        <v>0.30499999999999999</v>
      </c>
      <c r="U94" s="36">
        <v>0.30399999999999999</v>
      </c>
      <c r="V94" s="36">
        <v>0.31900000000000001</v>
      </c>
      <c r="W94" s="36">
        <v>0.33500000000000002</v>
      </c>
      <c r="X94" s="36">
        <v>0.27</v>
      </c>
      <c r="Y94" s="36">
        <v>0.24399999999999999</v>
      </c>
      <c r="Z94" s="36">
        <v>0.27300000000000002</v>
      </c>
      <c r="AA94" s="36">
        <v>0.28999999999999998</v>
      </c>
      <c r="AB94" s="36">
        <v>0.32600000000000001</v>
      </c>
      <c r="AC94" s="36">
        <v>0.28599999999999998</v>
      </c>
      <c r="AD94" s="36">
        <v>0.29499999999999998</v>
      </c>
      <c r="AE94" s="36">
        <v>0.245</v>
      </c>
      <c r="AF94" s="36">
        <v>0.187</v>
      </c>
      <c r="AG94" s="36">
        <v>0.20899999999999999</v>
      </c>
      <c r="AH94" s="36">
        <v>7.9000000000000001E-2</v>
      </c>
      <c r="AI94" s="36">
        <v>0.16600000000000001</v>
      </c>
      <c r="AJ94" s="36">
        <v>0.14299999999999999</v>
      </c>
      <c r="AK94" s="36">
        <v>0.14299999999999999</v>
      </c>
      <c r="AL94" s="36">
        <v>0.28199999999999997</v>
      </c>
      <c r="AM94" s="36">
        <v>0.30099999999999999</v>
      </c>
      <c r="AN94" s="36">
        <v>0.27100000000000002</v>
      </c>
      <c r="AO94" s="36">
        <v>0.184</v>
      </c>
      <c r="AP94" s="36">
        <v>0.24299999999999999</v>
      </c>
      <c r="AQ94" s="36">
        <v>0.27100000000000002</v>
      </c>
      <c r="AR94" s="36">
        <v>0.24199999999999999</v>
      </c>
      <c r="AS94" s="36">
        <v>0.21</v>
      </c>
      <c r="AT94" s="36">
        <v>0.21299999999999999</v>
      </c>
      <c r="AU94" s="36">
        <v>0.17799999999999999</v>
      </c>
      <c r="AV94" s="36">
        <v>0.14899999999999999</v>
      </c>
      <c r="AW94" s="36">
        <v>0.13</v>
      </c>
      <c r="AX94" s="36">
        <v>0.123</v>
      </c>
      <c r="AY94" s="36">
        <v>0.23200000000000001</v>
      </c>
      <c r="AZ94" s="36">
        <v>0.17399999999999999</v>
      </c>
      <c r="BA94" s="36">
        <v>0.20399999999999999</v>
      </c>
      <c r="BB94" s="37">
        <v>0.16950000000000001</v>
      </c>
      <c r="BC94" s="36">
        <v>0.219</v>
      </c>
      <c r="BD94" s="37">
        <v>0.27300000000000002</v>
      </c>
      <c r="BE94" s="23" t="s">
        <v>38</v>
      </c>
      <c r="BF94" s="23" t="s">
        <v>38</v>
      </c>
      <c r="BG94" s="36">
        <v>0.2535</v>
      </c>
      <c r="BH94" s="38">
        <v>0.2505</v>
      </c>
      <c r="BI94" s="38">
        <v>0.28000000000000003</v>
      </c>
      <c r="BJ94" s="38">
        <v>0.27600000000000002</v>
      </c>
      <c r="BK94" s="38">
        <v>0.2545</v>
      </c>
      <c r="BL94" s="38">
        <v>0.252</v>
      </c>
      <c r="BM94" s="38">
        <v>0.27949999999999997</v>
      </c>
      <c r="BN94" s="38" t="s">
        <v>38</v>
      </c>
      <c r="BO94" s="40">
        <v>0.27400000000000002</v>
      </c>
      <c r="BP94" s="38">
        <v>0.29049999999999998</v>
      </c>
      <c r="BQ94" s="38">
        <v>0.20100000000000001</v>
      </c>
      <c r="BR94" s="41">
        <v>0.2475</v>
      </c>
      <c r="BS94" s="47" t="s">
        <v>38</v>
      </c>
      <c r="BT94" s="41">
        <v>0.17899999999999999</v>
      </c>
      <c r="BU94" s="42">
        <v>0.20499999999999999</v>
      </c>
      <c r="BV94" s="41">
        <v>0.16649999999999998</v>
      </c>
      <c r="BW94" s="42">
        <v>0.26050000000000001</v>
      </c>
      <c r="BX94" s="41" t="s">
        <v>38</v>
      </c>
      <c r="BY94" s="85">
        <f>(0.292+0.292)/2</f>
        <v>0.29199999999999998</v>
      </c>
      <c r="BZ94" s="85">
        <f>(0.403+0.385)/2</f>
        <v>0.39400000000000002</v>
      </c>
      <c r="CA94" s="89">
        <v>0.29499999999999998</v>
      </c>
    </row>
    <row r="95" spans="1:79">
      <c r="A95" s="21">
        <v>66</v>
      </c>
      <c r="B95" s="82">
        <v>254555.697189</v>
      </c>
      <c r="C95" s="82">
        <v>4505682.2836199999</v>
      </c>
      <c r="D95" s="19" t="s">
        <v>38</v>
      </c>
      <c r="E95" s="19" t="s">
        <v>38</v>
      </c>
      <c r="F95" s="19" t="s">
        <v>38</v>
      </c>
      <c r="G95" s="19" t="s">
        <v>38</v>
      </c>
      <c r="H95" s="19" t="s">
        <v>38</v>
      </c>
      <c r="I95" s="19" t="s">
        <v>38</v>
      </c>
      <c r="J95" s="19" t="s">
        <v>38</v>
      </c>
      <c r="K95" s="19" t="s">
        <v>38</v>
      </c>
      <c r="L95" s="19" t="s">
        <v>38</v>
      </c>
      <c r="M95" s="19" t="s">
        <v>38</v>
      </c>
      <c r="N95" s="23" t="s">
        <v>38</v>
      </c>
      <c r="O95" s="23" t="s">
        <v>38</v>
      </c>
      <c r="P95" s="23" t="s">
        <v>38</v>
      </c>
      <c r="Q95" s="23" t="s">
        <v>38</v>
      </c>
      <c r="R95" s="23" t="s">
        <v>38</v>
      </c>
      <c r="S95" s="23" t="s">
        <v>38</v>
      </c>
      <c r="T95" s="23" t="s">
        <v>38</v>
      </c>
      <c r="U95" s="23" t="s">
        <v>38</v>
      </c>
      <c r="V95" s="23" t="s">
        <v>38</v>
      </c>
      <c r="W95" s="23" t="s">
        <v>38</v>
      </c>
      <c r="X95" s="23" t="s">
        <v>38</v>
      </c>
      <c r="Y95" s="23" t="s">
        <v>38</v>
      </c>
      <c r="Z95" s="23" t="s">
        <v>38</v>
      </c>
      <c r="AA95" s="23" t="s">
        <v>38</v>
      </c>
      <c r="AB95" s="23" t="s">
        <v>38</v>
      </c>
      <c r="AC95" s="23" t="s">
        <v>38</v>
      </c>
      <c r="AD95" s="23" t="s">
        <v>38</v>
      </c>
      <c r="AE95" s="23" t="s">
        <v>38</v>
      </c>
      <c r="AF95" s="23" t="s">
        <v>38</v>
      </c>
      <c r="AG95" s="23" t="s">
        <v>38</v>
      </c>
      <c r="AH95" s="23" t="s">
        <v>38</v>
      </c>
      <c r="AI95" s="23" t="s">
        <v>38</v>
      </c>
      <c r="AJ95" s="23" t="s">
        <v>38</v>
      </c>
      <c r="AK95" s="23" t="s">
        <v>38</v>
      </c>
      <c r="AL95" s="23" t="s">
        <v>38</v>
      </c>
      <c r="AM95" s="23" t="s">
        <v>38</v>
      </c>
      <c r="AN95" s="23" t="s">
        <v>38</v>
      </c>
      <c r="AO95" s="23" t="s">
        <v>38</v>
      </c>
      <c r="AP95" s="23" t="s">
        <v>38</v>
      </c>
      <c r="AQ95" s="23" t="s">
        <v>38</v>
      </c>
      <c r="AR95" s="23" t="s">
        <v>38</v>
      </c>
      <c r="AS95" s="23" t="s">
        <v>38</v>
      </c>
      <c r="AT95" s="23" t="s">
        <v>38</v>
      </c>
      <c r="AU95" s="23" t="s">
        <v>38</v>
      </c>
      <c r="AV95" s="23" t="s">
        <v>38</v>
      </c>
      <c r="AW95" s="23" t="s">
        <v>38</v>
      </c>
      <c r="AX95" s="23" t="s">
        <v>38</v>
      </c>
      <c r="AY95" s="23" t="s">
        <v>38</v>
      </c>
      <c r="AZ95" s="23" t="s">
        <v>38</v>
      </c>
      <c r="BA95" s="23" t="s">
        <v>38</v>
      </c>
      <c r="BB95" s="23" t="s">
        <v>38</v>
      </c>
      <c r="BC95" s="23" t="s">
        <v>38</v>
      </c>
      <c r="BD95" s="23" t="s">
        <v>38</v>
      </c>
      <c r="BE95" s="23" t="s">
        <v>38</v>
      </c>
      <c r="BF95" s="23" t="s">
        <v>38</v>
      </c>
      <c r="BG95" s="23" t="s">
        <v>38</v>
      </c>
      <c r="BH95" s="23" t="s">
        <v>38</v>
      </c>
      <c r="BI95" s="23" t="s">
        <v>38</v>
      </c>
      <c r="BJ95" s="23" t="s">
        <v>38</v>
      </c>
      <c r="BK95" s="23" t="s">
        <v>38</v>
      </c>
      <c r="BL95" s="23" t="s">
        <v>38</v>
      </c>
      <c r="BM95" s="23" t="s">
        <v>38</v>
      </c>
      <c r="BN95" s="23" t="s">
        <v>38</v>
      </c>
      <c r="BO95" s="23" t="s">
        <v>38</v>
      </c>
      <c r="BP95" s="23" t="s">
        <v>38</v>
      </c>
      <c r="BQ95" s="23" t="s">
        <v>38</v>
      </c>
      <c r="BR95" s="23" t="s">
        <v>38</v>
      </c>
      <c r="BS95" s="23" t="s">
        <v>38</v>
      </c>
      <c r="BT95" s="23" t="s">
        <v>38</v>
      </c>
      <c r="BU95" s="23" t="s">
        <v>38</v>
      </c>
      <c r="BV95" s="23" t="s">
        <v>38</v>
      </c>
      <c r="BW95" s="47" t="s">
        <v>38</v>
      </c>
      <c r="BX95" s="41" t="s">
        <v>38</v>
      </c>
      <c r="BY95" s="69" t="s">
        <v>38</v>
      </c>
      <c r="BZ95" s="69" t="s">
        <v>38</v>
      </c>
      <c r="CA95" s="89" t="s">
        <v>38</v>
      </c>
    </row>
    <row r="96" spans="1:79">
      <c r="A96" s="21">
        <v>67</v>
      </c>
      <c r="B96" s="82">
        <v>254555.67023700001</v>
      </c>
      <c r="C96" s="82">
        <v>4505716.0668700002</v>
      </c>
      <c r="D96" s="19">
        <v>0.22550000000000001</v>
      </c>
      <c r="E96" s="19">
        <v>0.214</v>
      </c>
      <c r="F96" s="19">
        <v>0.22650000000000001</v>
      </c>
      <c r="G96" s="19">
        <v>0.24099999999999999</v>
      </c>
      <c r="H96" s="19">
        <v>0.17</v>
      </c>
      <c r="I96" s="19">
        <v>0.17849999999999999</v>
      </c>
      <c r="J96" s="19">
        <v>0.11849999999999999</v>
      </c>
      <c r="K96" s="19">
        <v>8.6999999999999994E-2</v>
      </c>
      <c r="L96" s="19">
        <v>0.1875</v>
      </c>
      <c r="M96" s="19">
        <v>0.09</v>
      </c>
      <c r="N96" s="16">
        <v>0.17549999999999999</v>
      </c>
      <c r="O96" s="16">
        <v>8.8499999999999995E-2</v>
      </c>
      <c r="P96" s="16">
        <v>0.1125</v>
      </c>
      <c r="Q96" s="16">
        <v>0.17349999999999999</v>
      </c>
      <c r="R96" s="16">
        <v>0.20050000000000001</v>
      </c>
      <c r="S96" s="16">
        <v>0.17599999999999999</v>
      </c>
      <c r="T96" s="36">
        <v>0.215</v>
      </c>
      <c r="U96" s="36">
        <v>0.221</v>
      </c>
      <c r="V96" s="36">
        <v>0.24299999999999999</v>
      </c>
      <c r="W96" s="36">
        <v>0.20599999999999999</v>
      </c>
      <c r="X96" s="36">
        <v>0.17299999999999999</v>
      </c>
      <c r="Y96" s="36">
        <v>0.16900000000000001</v>
      </c>
      <c r="Z96" s="36">
        <v>0.16900000000000001</v>
      </c>
      <c r="AA96" s="36">
        <v>0.19900000000000001</v>
      </c>
      <c r="AB96" s="36">
        <v>0.25700000000000001</v>
      </c>
      <c r="AC96" s="36">
        <v>0.161</v>
      </c>
      <c r="AD96" s="36">
        <v>0.16900000000000001</v>
      </c>
      <c r="AE96" s="36">
        <v>0.183</v>
      </c>
      <c r="AF96" s="36">
        <v>0.16</v>
      </c>
      <c r="AG96" s="36">
        <v>0.19</v>
      </c>
      <c r="AH96" s="36">
        <v>6.2E-2</v>
      </c>
      <c r="AI96" s="36">
        <v>0.159</v>
      </c>
      <c r="AJ96" s="36">
        <v>0.115</v>
      </c>
      <c r="AK96" s="36">
        <v>0.122</v>
      </c>
      <c r="AL96" s="36">
        <v>0.255</v>
      </c>
      <c r="AM96" s="36">
        <v>0.214</v>
      </c>
      <c r="AN96" s="36">
        <v>0.187</v>
      </c>
      <c r="AO96" s="36">
        <v>0.14499999999999999</v>
      </c>
      <c r="AP96" s="36">
        <v>0.154</v>
      </c>
      <c r="AQ96" s="36">
        <v>0.19500000000000001</v>
      </c>
      <c r="AR96" s="36">
        <v>0.155</v>
      </c>
      <c r="AS96" s="36">
        <v>0.129</v>
      </c>
      <c r="AT96" s="36">
        <v>0.157</v>
      </c>
      <c r="AU96" s="36">
        <v>0.115</v>
      </c>
      <c r="AV96" s="36">
        <v>0.11799999999999999</v>
      </c>
      <c r="AW96" s="36">
        <v>0.10100000000000001</v>
      </c>
      <c r="AX96" s="36">
        <v>0.11700000000000001</v>
      </c>
      <c r="AY96" s="36">
        <v>0.16400000000000001</v>
      </c>
      <c r="AZ96" s="36">
        <v>0.159</v>
      </c>
      <c r="BA96" s="36">
        <v>0.23200000000000001</v>
      </c>
      <c r="BB96" s="37">
        <v>0.13500000000000001</v>
      </c>
      <c r="BC96" s="36">
        <v>0.183</v>
      </c>
      <c r="BD96" s="37">
        <v>0.20949999999999999</v>
      </c>
      <c r="BE96" s="37" t="s">
        <v>38</v>
      </c>
      <c r="BF96" s="37" t="s">
        <v>38</v>
      </c>
      <c r="BG96" s="36">
        <v>0.19500000000000001</v>
      </c>
      <c r="BH96" s="38">
        <v>0.16400000000000001</v>
      </c>
      <c r="BI96" s="38">
        <v>0.20900000000000002</v>
      </c>
      <c r="BJ96" s="38">
        <v>0.1855</v>
      </c>
      <c r="BK96" s="38">
        <v>0.185</v>
      </c>
      <c r="BL96" s="38">
        <v>0.19700000000000001</v>
      </c>
      <c r="BM96" s="38">
        <v>0.19950000000000001</v>
      </c>
      <c r="BN96" s="23" t="s">
        <v>38</v>
      </c>
      <c r="BO96" s="40">
        <v>0.19800000000000001</v>
      </c>
      <c r="BP96" s="38">
        <v>0.23050000000000001</v>
      </c>
      <c r="BQ96" s="38">
        <v>0.14249999999999999</v>
      </c>
      <c r="BR96" s="41">
        <v>0.1835</v>
      </c>
      <c r="BS96" s="23" t="s">
        <v>38</v>
      </c>
      <c r="BT96" s="41">
        <v>0.1225</v>
      </c>
      <c r="BU96" s="42">
        <v>0.17249999999999999</v>
      </c>
      <c r="BV96" s="41">
        <v>0.1195</v>
      </c>
      <c r="BW96" s="42">
        <v>0.2235</v>
      </c>
      <c r="BX96" s="41" t="s">
        <v>38</v>
      </c>
      <c r="BY96" s="85">
        <f>(0.256+0.258)/2</f>
        <v>0.25700000000000001</v>
      </c>
      <c r="BZ96" s="85">
        <f>(0.311+0.345)/2</f>
        <v>0.32799999999999996</v>
      </c>
      <c r="CA96" s="89">
        <v>0.2475</v>
      </c>
    </row>
    <row r="97" spans="1:79">
      <c r="A97" s="21">
        <v>68</v>
      </c>
      <c r="B97" s="82">
        <v>254550.90865100001</v>
      </c>
      <c r="C97" s="82">
        <v>4505648.5313400002</v>
      </c>
      <c r="D97" s="19" t="s">
        <v>38</v>
      </c>
      <c r="E97" s="19">
        <v>0.2455</v>
      </c>
      <c r="F97" s="19">
        <v>0.2495</v>
      </c>
      <c r="G97" s="19">
        <v>0.247</v>
      </c>
      <c r="H97" s="19">
        <v>0.20599999999999999</v>
      </c>
      <c r="I97" s="19">
        <v>0.186</v>
      </c>
      <c r="J97" s="19">
        <v>0.16250000000000001</v>
      </c>
      <c r="K97" s="19">
        <v>0.11749999999999999</v>
      </c>
      <c r="L97" s="19">
        <v>0.19550000000000001</v>
      </c>
      <c r="M97" s="19">
        <v>0.1085</v>
      </c>
      <c r="N97" s="16">
        <v>0.14300000000000002</v>
      </c>
      <c r="O97" s="16">
        <v>0.111</v>
      </c>
      <c r="P97" s="16">
        <v>0.122</v>
      </c>
      <c r="Q97" s="16">
        <v>0.20100000000000001</v>
      </c>
      <c r="R97" s="16">
        <v>0.23250000000000001</v>
      </c>
      <c r="S97" s="16">
        <v>0.183</v>
      </c>
      <c r="T97" s="36">
        <v>0.27900000000000003</v>
      </c>
      <c r="U97" s="36">
        <v>0.28000000000000003</v>
      </c>
      <c r="V97" s="36">
        <v>0.3</v>
      </c>
      <c r="W97" s="36">
        <v>0.29899999999999999</v>
      </c>
      <c r="X97" s="36">
        <v>0.25</v>
      </c>
      <c r="Y97" s="36">
        <v>0.21199999999999999</v>
      </c>
      <c r="Z97" s="36">
        <v>0.249</v>
      </c>
      <c r="AA97" s="36">
        <v>0.27500000000000002</v>
      </c>
      <c r="AB97" s="36">
        <v>0.28699999999999998</v>
      </c>
      <c r="AC97" s="36">
        <v>0.27</v>
      </c>
      <c r="AD97" s="36">
        <v>0.255</v>
      </c>
      <c r="AE97" s="36">
        <v>0.216</v>
      </c>
      <c r="AF97" s="36">
        <v>0.183</v>
      </c>
      <c r="AG97" s="36">
        <v>0.219</v>
      </c>
      <c r="AH97" s="36">
        <v>6.9000000000000006E-2</v>
      </c>
      <c r="AI97" s="36">
        <v>0.17199999999999999</v>
      </c>
      <c r="AJ97" s="36">
        <v>0.153</v>
      </c>
      <c r="AK97" s="36">
        <v>0.13100000000000001</v>
      </c>
      <c r="AL97" s="36">
        <v>0.31</v>
      </c>
      <c r="AM97" s="36" t="s">
        <v>38</v>
      </c>
      <c r="AN97" s="36">
        <v>0.25</v>
      </c>
      <c r="AO97" s="36">
        <v>0.17799999999999999</v>
      </c>
      <c r="AP97" s="36">
        <v>0.20399999999999999</v>
      </c>
      <c r="AQ97" s="36">
        <v>0.23100000000000001</v>
      </c>
      <c r="AR97" s="36">
        <v>0.192</v>
      </c>
      <c r="AS97" s="36">
        <v>0.17100000000000001</v>
      </c>
      <c r="AT97" s="36">
        <v>0.189</v>
      </c>
      <c r="AU97" s="36">
        <v>0.154</v>
      </c>
      <c r="AV97" s="36">
        <v>0.13700000000000001</v>
      </c>
      <c r="AW97" s="36">
        <v>0.125</v>
      </c>
      <c r="AX97" s="36">
        <v>0.122</v>
      </c>
      <c r="AY97" s="36">
        <v>0.22700000000000001</v>
      </c>
      <c r="AZ97" s="36">
        <v>0.193</v>
      </c>
      <c r="BA97" s="36">
        <v>0.17699999999999999</v>
      </c>
      <c r="BB97" s="37">
        <v>0.1515</v>
      </c>
      <c r="BC97" s="36" t="s">
        <v>38</v>
      </c>
      <c r="BD97" s="37" t="s">
        <v>38</v>
      </c>
      <c r="BE97" s="37" t="s">
        <v>38</v>
      </c>
      <c r="BF97" s="37" t="s">
        <v>38</v>
      </c>
      <c r="BG97" s="36">
        <v>0.252</v>
      </c>
      <c r="BH97" s="38">
        <v>0.218</v>
      </c>
      <c r="BI97" s="38">
        <v>0.25650000000000001</v>
      </c>
      <c r="BJ97" s="38">
        <v>0.23749999999999999</v>
      </c>
      <c r="BK97" s="38">
        <v>0.22950000000000001</v>
      </c>
      <c r="BL97" s="38">
        <v>0.22700000000000001</v>
      </c>
      <c r="BM97" s="38">
        <v>0.248</v>
      </c>
      <c r="BN97" s="23" t="s">
        <v>38</v>
      </c>
      <c r="BO97" s="40">
        <v>0.23599999999999999</v>
      </c>
      <c r="BP97" s="38">
        <v>0.26300000000000001</v>
      </c>
      <c r="BQ97" s="38">
        <v>0.16950000000000001</v>
      </c>
      <c r="BR97" s="41">
        <v>0.21</v>
      </c>
      <c r="BS97" s="23" t="s">
        <v>38</v>
      </c>
      <c r="BT97" s="41">
        <v>0.16400000000000001</v>
      </c>
      <c r="BU97" s="42">
        <v>0.19550000000000001</v>
      </c>
      <c r="BV97" s="41">
        <v>0.1595</v>
      </c>
      <c r="BW97" s="42">
        <v>0.25800000000000001</v>
      </c>
      <c r="BX97" s="41" t="s">
        <v>38</v>
      </c>
      <c r="BY97" s="85">
        <f>(0.267+0.258)/2</f>
        <v>0.26250000000000001</v>
      </c>
      <c r="BZ97" s="85">
        <f>(0.333+0.348)/2</f>
        <v>0.34050000000000002</v>
      </c>
      <c r="CA97" s="89">
        <v>0.26550000000000001</v>
      </c>
    </row>
    <row r="98" spans="1:79">
      <c r="A98" s="21">
        <v>69</v>
      </c>
      <c r="B98" s="83">
        <v>254597.82972499999</v>
      </c>
      <c r="C98" s="83">
        <v>4505663.6450399999</v>
      </c>
      <c r="D98" s="19" t="s">
        <v>38</v>
      </c>
      <c r="E98" s="19" t="s">
        <v>38</v>
      </c>
      <c r="F98" s="19" t="s">
        <v>38</v>
      </c>
      <c r="G98" s="19" t="s">
        <v>38</v>
      </c>
      <c r="H98" s="19" t="s">
        <v>38</v>
      </c>
      <c r="I98" s="19" t="s">
        <v>38</v>
      </c>
      <c r="J98" s="19" t="s">
        <v>38</v>
      </c>
      <c r="K98" s="19" t="s">
        <v>38</v>
      </c>
      <c r="L98" s="19" t="s">
        <v>38</v>
      </c>
      <c r="M98" s="19" t="s">
        <v>38</v>
      </c>
      <c r="N98" s="23" t="s">
        <v>38</v>
      </c>
      <c r="O98" s="23" t="s">
        <v>38</v>
      </c>
      <c r="P98" s="23" t="s">
        <v>38</v>
      </c>
      <c r="Q98" s="23" t="s">
        <v>38</v>
      </c>
      <c r="R98" s="23" t="s">
        <v>38</v>
      </c>
      <c r="S98" s="23" t="s">
        <v>38</v>
      </c>
      <c r="T98" s="23" t="s">
        <v>38</v>
      </c>
      <c r="U98" s="23" t="s">
        <v>38</v>
      </c>
      <c r="V98" s="23" t="s">
        <v>38</v>
      </c>
      <c r="W98" s="23" t="s">
        <v>38</v>
      </c>
      <c r="X98" s="23" t="s">
        <v>38</v>
      </c>
      <c r="Y98" s="23" t="s">
        <v>38</v>
      </c>
      <c r="Z98" s="23" t="s">
        <v>38</v>
      </c>
      <c r="AA98" s="23" t="s">
        <v>38</v>
      </c>
      <c r="AB98" s="23" t="s">
        <v>38</v>
      </c>
      <c r="AC98" s="23" t="s">
        <v>38</v>
      </c>
      <c r="AD98" s="23" t="s">
        <v>38</v>
      </c>
      <c r="AE98" s="23" t="s">
        <v>38</v>
      </c>
      <c r="AF98" s="23" t="s">
        <v>38</v>
      </c>
      <c r="AG98" s="23" t="s">
        <v>38</v>
      </c>
      <c r="AH98" s="23" t="s">
        <v>38</v>
      </c>
      <c r="AI98" s="23" t="s">
        <v>38</v>
      </c>
      <c r="AJ98" s="23" t="s">
        <v>38</v>
      </c>
      <c r="AK98" s="23" t="s">
        <v>38</v>
      </c>
      <c r="AL98" s="23" t="s">
        <v>38</v>
      </c>
      <c r="AM98" s="23" t="s">
        <v>38</v>
      </c>
      <c r="AN98" s="23" t="s">
        <v>38</v>
      </c>
      <c r="AO98" s="23" t="s">
        <v>38</v>
      </c>
      <c r="AP98" s="23" t="s">
        <v>38</v>
      </c>
      <c r="AQ98" s="23" t="s">
        <v>38</v>
      </c>
      <c r="AR98" s="23" t="s">
        <v>38</v>
      </c>
      <c r="AS98" s="23" t="s">
        <v>38</v>
      </c>
      <c r="AT98" s="23" t="s">
        <v>38</v>
      </c>
      <c r="AU98" s="23" t="s">
        <v>38</v>
      </c>
      <c r="AV98" s="23" t="s">
        <v>38</v>
      </c>
      <c r="AW98" s="23" t="s">
        <v>38</v>
      </c>
      <c r="AX98" s="23" t="s">
        <v>38</v>
      </c>
      <c r="AY98" s="23" t="s">
        <v>38</v>
      </c>
      <c r="AZ98" s="23" t="s">
        <v>38</v>
      </c>
      <c r="BA98" s="23" t="s">
        <v>38</v>
      </c>
      <c r="BB98" s="23" t="s">
        <v>38</v>
      </c>
      <c r="BC98" s="23" t="s">
        <v>38</v>
      </c>
      <c r="BD98" s="23" t="s">
        <v>38</v>
      </c>
      <c r="BE98" s="23" t="s">
        <v>38</v>
      </c>
      <c r="BF98" s="23" t="s">
        <v>38</v>
      </c>
      <c r="BG98" s="23" t="s">
        <v>38</v>
      </c>
      <c r="BH98" s="23" t="s">
        <v>38</v>
      </c>
      <c r="BI98" s="23" t="s">
        <v>38</v>
      </c>
      <c r="BJ98" s="23" t="s">
        <v>38</v>
      </c>
      <c r="BK98" s="23" t="s">
        <v>38</v>
      </c>
      <c r="BL98" s="23" t="s">
        <v>38</v>
      </c>
      <c r="BM98" s="23" t="s">
        <v>38</v>
      </c>
      <c r="BN98" s="23" t="s">
        <v>38</v>
      </c>
      <c r="BO98" s="23" t="s">
        <v>38</v>
      </c>
      <c r="BP98" s="23" t="s">
        <v>38</v>
      </c>
      <c r="BQ98" s="23" t="s">
        <v>38</v>
      </c>
      <c r="BR98" s="23" t="s">
        <v>38</v>
      </c>
      <c r="BS98" s="23" t="s">
        <v>38</v>
      </c>
      <c r="BT98" s="23" t="s">
        <v>38</v>
      </c>
      <c r="BU98" s="23" t="s">
        <v>38</v>
      </c>
      <c r="BV98" s="23" t="s">
        <v>38</v>
      </c>
      <c r="BW98" s="47" t="s">
        <v>38</v>
      </c>
      <c r="BX98" s="41" t="s">
        <v>38</v>
      </c>
      <c r="BY98" s="69" t="s">
        <v>38</v>
      </c>
      <c r="BZ98" s="69" t="s">
        <v>38</v>
      </c>
      <c r="CA98" s="89" t="s">
        <v>38</v>
      </c>
    </row>
    <row r="99" spans="1:79">
      <c r="A99" s="21">
        <v>70</v>
      </c>
      <c r="B99" s="82">
        <v>254634.17014</v>
      </c>
      <c r="C99" s="82">
        <v>4505678.18004</v>
      </c>
      <c r="D99" s="19">
        <v>0.33250000000000002</v>
      </c>
      <c r="E99" s="19">
        <v>0.29799999999999999</v>
      </c>
      <c r="F99" s="19">
        <v>0.30299999999999999</v>
      </c>
      <c r="G99" s="19">
        <v>0.30199999999999999</v>
      </c>
      <c r="H99" s="19">
        <v>0.23250000000000001</v>
      </c>
      <c r="I99" s="19">
        <v>0.2515</v>
      </c>
      <c r="J99" s="19">
        <v>0.214</v>
      </c>
      <c r="K99" s="19">
        <v>0.1865</v>
      </c>
      <c r="L99" s="19">
        <v>0.1835</v>
      </c>
      <c r="M99" s="19">
        <v>0.13250000000000001</v>
      </c>
      <c r="N99" s="16">
        <v>0.1515</v>
      </c>
      <c r="O99" s="16">
        <v>0.13350000000000001</v>
      </c>
      <c r="P99" s="16">
        <v>0.14000000000000001</v>
      </c>
      <c r="Q99" s="16">
        <v>0.17949999999999999</v>
      </c>
      <c r="R99" s="16">
        <v>0.23799999999999999</v>
      </c>
      <c r="S99" s="16">
        <v>0.19950000000000001</v>
      </c>
      <c r="T99" s="36">
        <v>0.33700000000000002</v>
      </c>
      <c r="U99" s="36">
        <v>0.35599999999999998</v>
      </c>
      <c r="V99" s="36">
        <v>0.34399999999999997</v>
      </c>
      <c r="W99" s="36">
        <v>0.40699999999999997</v>
      </c>
      <c r="X99" s="36">
        <v>0.314</v>
      </c>
      <c r="Y99" s="36">
        <v>0.27</v>
      </c>
      <c r="Z99" s="36">
        <v>0.35299999999999998</v>
      </c>
      <c r="AA99" s="36">
        <v>0.36099999999999999</v>
      </c>
      <c r="AB99" s="36">
        <v>0.35099999999999998</v>
      </c>
      <c r="AC99" s="36">
        <v>0.33400000000000002</v>
      </c>
      <c r="AD99" s="36">
        <v>0.34699999999999998</v>
      </c>
      <c r="AE99" s="36">
        <v>0.34599999999999997</v>
      </c>
      <c r="AF99" s="36">
        <v>0.20699999999999999</v>
      </c>
      <c r="AG99" s="36">
        <v>0.22500000000000001</v>
      </c>
      <c r="AH99" s="36">
        <v>8.1000000000000003E-2</v>
      </c>
      <c r="AI99" s="36">
        <v>0.17299999999999999</v>
      </c>
      <c r="AJ99" s="36">
        <v>0.187</v>
      </c>
      <c r="AK99" s="36">
        <v>0.16900000000000001</v>
      </c>
      <c r="AL99" s="36">
        <v>0.316</v>
      </c>
      <c r="AM99" s="36">
        <v>0.33600000000000002</v>
      </c>
      <c r="AN99" s="36">
        <v>0.30199999999999999</v>
      </c>
      <c r="AO99" s="36">
        <v>0.19500000000000001</v>
      </c>
      <c r="AP99" s="36">
        <v>0.27</v>
      </c>
      <c r="AQ99" s="36">
        <v>0.28499999999999998</v>
      </c>
      <c r="AR99" s="36">
        <v>0.25900000000000001</v>
      </c>
      <c r="AS99" s="36">
        <v>0.223</v>
      </c>
      <c r="AT99" s="36">
        <v>0.22800000000000001</v>
      </c>
      <c r="AU99" s="36">
        <v>0.183</v>
      </c>
      <c r="AV99" s="36">
        <v>0.17100000000000001</v>
      </c>
      <c r="AW99" s="36">
        <v>0.14099999999999999</v>
      </c>
      <c r="AX99" s="36">
        <v>0.14000000000000001</v>
      </c>
      <c r="AY99" s="36">
        <v>0.14000000000000001</v>
      </c>
      <c r="AZ99" s="36">
        <v>0.13800000000000001</v>
      </c>
      <c r="BA99" s="36">
        <v>0.223</v>
      </c>
      <c r="BB99" s="37">
        <v>0.13850000000000001</v>
      </c>
      <c r="BC99" s="36">
        <v>0.223</v>
      </c>
      <c r="BD99" s="37">
        <v>0.24399999999999999</v>
      </c>
      <c r="BE99" s="23" t="s">
        <v>38</v>
      </c>
      <c r="BF99" s="23" t="s">
        <v>38</v>
      </c>
      <c r="BG99" s="36">
        <v>0.2495</v>
      </c>
      <c r="BH99" s="38">
        <v>0.27750000000000002</v>
      </c>
      <c r="BI99" s="38">
        <v>0.29599999999999999</v>
      </c>
      <c r="BJ99" s="38">
        <v>0.26849999999999996</v>
      </c>
      <c r="BK99" s="38">
        <v>0.27650000000000002</v>
      </c>
      <c r="BL99" s="38">
        <v>0.28799999999999998</v>
      </c>
      <c r="BM99" s="38">
        <v>0.29200000000000004</v>
      </c>
      <c r="BN99" s="23" t="s">
        <v>38</v>
      </c>
      <c r="BO99" s="40">
        <v>0.29299999999999998</v>
      </c>
      <c r="BP99" s="38">
        <v>0.30299999999999999</v>
      </c>
      <c r="BQ99" s="38">
        <v>0.20499999999999999</v>
      </c>
      <c r="BR99" s="41">
        <v>0.26200000000000001</v>
      </c>
      <c r="BS99" s="23" t="s">
        <v>38</v>
      </c>
      <c r="BT99" s="41">
        <v>0.18149999999999999</v>
      </c>
      <c r="BU99" s="42">
        <v>0.1845</v>
      </c>
      <c r="BV99" s="41">
        <v>0.16200000000000001</v>
      </c>
      <c r="BW99" s="42">
        <v>0.20799999999999999</v>
      </c>
      <c r="BX99" s="42">
        <v>0.23199999999999998</v>
      </c>
      <c r="BY99" s="85">
        <f>(0.307+0.302)/2</f>
        <v>0.30449999999999999</v>
      </c>
      <c r="BZ99" s="85">
        <f>(0.301+0.295)/2</f>
        <v>0.29799999999999999</v>
      </c>
      <c r="CA99" s="89">
        <v>0.41149999999999998</v>
      </c>
    </row>
    <row r="100" spans="1:79">
      <c r="A100" s="21">
        <v>71</v>
      </c>
      <c r="B100" s="82">
        <v>254591.99662699999</v>
      </c>
      <c r="C100" s="82">
        <v>4505692.3642499996</v>
      </c>
      <c r="D100" s="19" t="s">
        <v>38</v>
      </c>
      <c r="E100" s="19" t="s">
        <v>38</v>
      </c>
      <c r="F100" s="19" t="s">
        <v>38</v>
      </c>
      <c r="G100" s="19" t="s">
        <v>38</v>
      </c>
      <c r="H100" s="19" t="s">
        <v>38</v>
      </c>
      <c r="I100" s="19" t="s">
        <v>38</v>
      </c>
      <c r="J100" s="19" t="s">
        <v>38</v>
      </c>
      <c r="K100" s="19" t="s">
        <v>38</v>
      </c>
      <c r="L100" s="19" t="s">
        <v>38</v>
      </c>
      <c r="M100" s="19" t="s">
        <v>38</v>
      </c>
      <c r="N100" s="23" t="s">
        <v>38</v>
      </c>
      <c r="O100" s="23" t="s">
        <v>38</v>
      </c>
      <c r="P100" s="23" t="s">
        <v>38</v>
      </c>
      <c r="Q100" s="23" t="s">
        <v>38</v>
      </c>
      <c r="R100" s="23" t="s">
        <v>38</v>
      </c>
      <c r="S100" s="23" t="s">
        <v>38</v>
      </c>
      <c r="T100" s="23" t="s">
        <v>38</v>
      </c>
      <c r="U100" s="23" t="s">
        <v>38</v>
      </c>
      <c r="V100" s="23" t="s">
        <v>38</v>
      </c>
      <c r="W100" s="23" t="s">
        <v>38</v>
      </c>
      <c r="X100" s="23" t="s">
        <v>38</v>
      </c>
      <c r="Y100" s="23" t="s">
        <v>38</v>
      </c>
      <c r="Z100" s="23" t="s">
        <v>38</v>
      </c>
      <c r="AA100" s="23" t="s">
        <v>38</v>
      </c>
      <c r="AB100" s="23" t="s">
        <v>38</v>
      </c>
      <c r="AC100" s="23" t="s">
        <v>38</v>
      </c>
      <c r="AD100" s="23" t="s">
        <v>38</v>
      </c>
      <c r="AE100" s="23" t="s">
        <v>38</v>
      </c>
      <c r="AF100" s="23" t="s">
        <v>38</v>
      </c>
      <c r="AG100" s="23" t="s">
        <v>38</v>
      </c>
      <c r="AH100" s="23" t="s">
        <v>38</v>
      </c>
      <c r="AI100" s="23" t="s">
        <v>38</v>
      </c>
      <c r="AJ100" s="23" t="s">
        <v>38</v>
      </c>
      <c r="AK100" s="23" t="s">
        <v>38</v>
      </c>
      <c r="AL100" s="23" t="s">
        <v>38</v>
      </c>
      <c r="AM100" s="23" t="s">
        <v>38</v>
      </c>
      <c r="AN100" s="23" t="s">
        <v>38</v>
      </c>
      <c r="AO100" s="23" t="s">
        <v>38</v>
      </c>
      <c r="AP100" s="23" t="s">
        <v>38</v>
      </c>
      <c r="AQ100" s="23" t="s">
        <v>38</v>
      </c>
      <c r="AR100" s="23" t="s">
        <v>38</v>
      </c>
      <c r="AS100" s="23" t="s">
        <v>38</v>
      </c>
      <c r="AT100" s="23" t="s">
        <v>38</v>
      </c>
      <c r="AU100" s="23" t="s">
        <v>38</v>
      </c>
      <c r="AV100" s="23" t="s">
        <v>38</v>
      </c>
      <c r="AW100" s="23" t="s">
        <v>38</v>
      </c>
      <c r="AX100" s="23" t="s">
        <v>38</v>
      </c>
      <c r="AY100" s="23" t="s">
        <v>38</v>
      </c>
      <c r="AZ100" s="23" t="s">
        <v>38</v>
      </c>
      <c r="BA100" s="23" t="s">
        <v>38</v>
      </c>
      <c r="BB100" s="23" t="s">
        <v>38</v>
      </c>
      <c r="BC100" s="23" t="s">
        <v>38</v>
      </c>
      <c r="BD100" s="23" t="s">
        <v>38</v>
      </c>
      <c r="BE100" s="23" t="s">
        <v>38</v>
      </c>
      <c r="BF100" s="23" t="s">
        <v>38</v>
      </c>
      <c r="BG100" s="23" t="s">
        <v>38</v>
      </c>
      <c r="BH100" s="23" t="s">
        <v>38</v>
      </c>
      <c r="BI100" s="23" t="s">
        <v>38</v>
      </c>
      <c r="BJ100" s="23" t="s">
        <v>38</v>
      </c>
      <c r="BK100" s="23" t="s">
        <v>38</v>
      </c>
      <c r="BL100" s="23" t="s">
        <v>38</v>
      </c>
      <c r="BM100" s="23" t="s">
        <v>38</v>
      </c>
      <c r="BN100" s="23" t="s">
        <v>38</v>
      </c>
      <c r="BO100" s="23" t="s">
        <v>38</v>
      </c>
      <c r="BP100" s="23" t="s">
        <v>38</v>
      </c>
      <c r="BQ100" s="23" t="s">
        <v>38</v>
      </c>
      <c r="BR100" s="23" t="s">
        <v>38</v>
      </c>
      <c r="BS100" s="23" t="s">
        <v>38</v>
      </c>
      <c r="BT100" s="23" t="s">
        <v>38</v>
      </c>
      <c r="BU100" s="23" t="s">
        <v>38</v>
      </c>
      <c r="BV100" s="23" t="s">
        <v>38</v>
      </c>
      <c r="BW100" s="47" t="s">
        <v>38</v>
      </c>
      <c r="BX100" s="47" t="s">
        <v>38</v>
      </c>
      <c r="BY100" s="69" t="s">
        <v>38</v>
      </c>
      <c r="BZ100" s="69" t="s">
        <v>38</v>
      </c>
      <c r="CA100" s="89" t="s">
        <v>38</v>
      </c>
    </row>
    <row r="101" spans="1:79">
      <c r="A101" s="21">
        <v>72</v>
      </c>
      <c r="B101" s="82">
        <v>254645.76749900001</v>
      </c>
      <c r="C101" s="82">
        <v>4505710.0379499998</v>
      </c>
      <c r="D101" s="19">
        <v>0.29049999999999998</v>
      </c>
      <c r="E101" s="19">
        <v>0.26300000000000001</v>
      </c>
      <c r="F101" s="19">
        <v>0.28949999999999998</v>
      </c>
      <c r="G101" s="19">
        <v>0.29549999999999998</v>
      </c>
      <c r="H101" s="19">
        <v>0.216</v>
      </c>
      <c r="I101" s="19">
        <v>0.21200000000000002</v>
      </c>
      <c r="J101" s="19">
        <v>0.16750000000000001</v>
      </c>
      <c r="K101" s="19">
        <v>0.104</v>
      </c>
      <c r="L101" s="19">
        <v>0.154</v>
      </c>
      <c r="M101" s="19">
        <v>9.5000000000000001E-2</v>
      </c>
      <c r="N101" s="16">
        <v>0.13500000000000001</v>
      </c>
      <c r="O101" s="16">
        <v>9.8000000000000004E-2</v>
      </c>
      <c r="P101" s="16">
        <v>0.113</v>
      </c>
      <c r="Q101" s="16">
        <v>0.1885</v>
      </c>
      <c r="R101" s="16">
        <v>0.20949999999999999</v>
      </c>
      <c r="S101" s="16">
        <v>0.1525</v>
      </c>
      <c r="T101" s="36">
        <v>0.29399999999999998</v>
      </c>
      <c r="U101" s="36">
        <v>0.30599999999999999</v>
      </c>
      <c r="V101" s="36">
        <v>0.32300000000000001</v>
      </c>
      <c r="W101" s="36">
        <v>0.36599999999999999</v>
      </c>
      <c r="X101" s="36">
        <v>0.24399999999999999</v>
      </c>
      <c r="Y101" s="36">
        <v>0.20799999999999999</v>
      </c>
      <c r="Z101" s="36">
        <v>0.25900000000000001</v>
      </c>
      <c r="AA101" s="36">
        <v>0.26900000000000002</v>
      </c>
      <c r="AB101" s="36">
        <v>0.33100000000000002</v>
      </c>
      <c r="AC101" s="36">
        <v>0.30099999999999999</v>
      </c>
      <c r="AD101" s="36">
        <v>0.312</v>
      </c>
      <c r="AE101" s="36">
        <v>0.23499999999999999</v>
      </c>
      <c r="AF101" s="36">
        <v>0.17499999999999999</v>
      </c>
      <c r="AG101" s="36">
        <v>0.17399999999999999</v>
      </c>
      <c r="AH101" s="36">
        <v>8.6999999999999994E-2</v>
      </c>
      <c r="AI101" s="36">
        <v>0.156</v>
      </c>
      <c r="AJ101" s="36">
        <v>0.13200000000000001</v>
      </c>
      <c r="AK101" s="36">
        <v>0.115</v>
      </c>
      <c r="AL101" s="36">
        <v>0.27800000000000002</v>
      </c>
      <c r="AM101" s="36">
        <v>0.33800000000000002</v>
      </c>
      <c r="AN101" s="36">
        <v>0.224</v>
      </c>
      <c r="AO101" s="36">
        <v>0.19500000000000001</v>
      </c>
      <c r="AP101" s="36">
        <v>0.24399999999999999</v>
      </c>
      <c r="AQ101" s="36">
        <v>0.25700000000000001</v>
      </c>
      <c r="AR101" s="36">
        <v>0.22</v>
      </c>
      <c r="AS101" s="36">
        <v>0.189</v>
      </c>
      <c r="AT101" s="36">
        <v>0.19600000000000001</v>
      </c>
      <c r="AU101" s="36">
        <v>0.157</v>
      </c>
      <c r="AV101" s="36">
        <v>0.127</v>
      </c>
      <c r="AW101" s="36">
        <v>0.11899999999999999</v>
      </c>
      <c r="AX101" s="36">
        <v>0.123</v>
      </c>
      <c r="AY101" s="36">
        <v>0.22700000000000001</v>
      </c>
      <c r="AZ101" s="36">
        <v>9.6000000000000002E-2</v>
      </c>
      <c r="BA101" s="36">
        <v>0.15</v>
      </c>
      <c r="BB101" s="37">
        <v>0.16799999999999998</v>
      </c>
      <c r="BC101" s="36">
        <v>0.22650000000000001</v>
      </c>
      <c r="BD101" s="37">
        <v>0.252</v>
      </c>
      <c r="BE101" s="23" t="s">
        <v>38</v>
      </c>
      <c r="BF101" s="23" t="s">
        <v>38</v>
      </c>
      <c r="BG101" s="36">
        <v>0.24299999999999999</v>
      </c>
      <c r="BH101" s="38">
        <v>0.25</v>
      </c>
      <c r="BI101" s="38">
        <v>0.28299999999999997</v>
      </c>
      <c r="BJ101" s="38">
        <v>0.2505</v>
      </c>
      <c r="BK101" s="38">
        <v>0.26250000000000001</v>
      </c>
      <c r="BL101" s="38">
        <v>0.27300000000000002</v>
      </c>
      <c r="BM101" s="38">
        <v>0.29299999999999998</v>
      </c>
      <c r="BN101" s="23" t="s">
        <v>38</v>
      </c>
      <c r="BO101" s="40">
        <v>0.27900000000000003</v>
      </c>
      <c r="BP101" s="38">
        <v>0.27500000000000002</v>
      </c>
      <c r="BQ101" s="38">
        <v>0.17749999999999999</v>
      </c>
      <c r="BR101" s="41">
        <v>0.184</v>
      </c>
      <c r="BS101" s="23" t="s">
        <v>38</v>
      </c>
      <c r="BT101" s="41">
        <v>0.14749999999999999</v>
      </c>
      <c r="BU101" s="42">
        <v>0.13350000000000001</v>
      </c>
      <c r="BV101" s="41">
        <v>0.13100000000000001</v>
      </c>
      <c r="BW101" s="42">
        <v>0.16899999999999998</v>
      </c>
      <c r="BX101" s="42" t="s">
        <v>38</v>
      </c>
      <c r="BY101" s="85">
        <f>(0.277+0.289)/2</f>
        <v>0.28300000000000003</v>
      </c>
      <c r="BZ101" s="85">
        <f>(0.274+0.283)/2</f>
        <v>0.27849999999999997</v>
      </c>
      <c r="CA101" s="89">
        <v>0.3755</v>
      </c>
    </row>
    <row r="102" spans="1:79">
      <c r="A102" s="21">
        <v>73</v>
      </c>
      <c r="B102" s="82">
        <v>254636.46085900001</v>
      </c>
      <c r="C102" s="82">
        <v>4505694.7106600003</v>
      </c>
      <c r="D102" s="19">
        <v>0.29049999999999998</v>
      </c>
      <c r="E102" s="19">
        <v>0.24399999999999999</v>
      </c>
      <c r="F102" s="19">
        <v>0.24</v>
      </c>
      <c r="G102" s="19">
        <v>0.254</v>
      </c>
      <c r="H102" s="19">
        <v>0.184</v>
      </c>
      <c r="I102" s="19">
        <v>0.17349999999999999</v>
      </c>
      <c r="J102" s="19">
        <v>0.14449999999999999</v>
      </c>
      <c r="K102" s="19">
        <v>0.104</v>
      </c>
      <c r="L102" s="19">
        <v>0.13550000000000001</v>
      </c>
      <c r="M102" s="19">
        <v>7.8E-2</v>
      </c>
      <c r="N102" s="16">
        <v>0.126</v>
      </c>
      <c r="O102" s="16">
        <v>8.6999999999999994E-2</v>
      </c>
      <c r="P102" s="16">
        <v>0.10450000000000001</v>
      </c>
      <c r="Q102" s="16">
        <v>0.16200000000000001</v>
      </c>
      <c r="R102" s="16">
        <v>0.129</v>
      </c>
      <c r="S102" s="16">
        <v>0.14749999999999999</v>
      </c>
      <c r="T102" s="36">
        <v>0.251</v>
      </c>
      <c r="U102" s="36">
        <v>0.26200000000000001</v>
      </c>
      <c r="V102" s="36">
        <v>0.28299999999999997</v>
      </c>
      <c r="W102" s="36">
        <v>0.29099999999999998</v>
      </c>
      <c r="X102" s="36">
        <v>0.23799999999999999</v>
      </c>
      <c r="Y102" s="36">
        <v>0.24</v>
      </c>
      <c r="Z102" s="36">
        <v>0.27800000000000002</v>
      </c>
      <c r="AA102" s="36">
        <v>0.29099999999999998</v>
      </c>
      <c r="AB102" s="36">
        <v>0.27800000000000002</v>
      </c>
      <c r="AC102" s="36">
        <v>0.26600000000000001</v>
      </c>
      <c r="AD102" s="36">
        <v>0.248</v>
      </c>
      <c r="AE102" s="36">
        <v>0.223</v>
      </c>
      <c r="AF102" s="36">
        <v>0.159</v>
      </c>
      <c r="AG102" s="36">
        <v>0.184</v>
      </c>
      <c r="AH102" s="36">
        <v>2.9000000000000001E-2</v>
      </c>
      <c r="AI102" s="36">
        <v>0.13400000000000001</v>
      </c>
      <c r="AJ102" s="36">
        <v>0.13400000000000001</v>
      </c>
      <c r="AK102" s="36">
        <v>0.12</v>
      </c>
      <c r="AL102" s="36">
        <v>0.27700000000000002</v>
      </c>
      <c r="AM102" s="36">
        <v>0.26600000000000001</v>
      </c>
      <c r="AN102" s="36">
        <v>0.27100000000000002</v>
      </c>
      <c r="AO102" s="36">
        <v>0.16300000000000001</v>
      </c>
      <c r="AP102" s="36">
        <v>0.21</v>
      </c>
      <c r="AQ102" s="36">
        <v>0.22500000000000001</v>
      </c>
      <c r="AR102" s="36">
        <v>0.184</v>
      </c>
      <c r="AS102" s="36">
        <v>0.16</v>
      </c>
      <c r="AT102" s="36">
        <v>0.16200000000000001</v>
      </c>
      <c r="AU102" s="36">
        <v>0.13</v>
      </c>
      <c r="AV102" s="36">
        <v>0.11899999999999999</v>
      </c>
      <c r="AW102" s="36">
        <v>7.4999999999999997E-2</v>
      </c>
      <c r="AX102" s="36">
        <v>0.115</v>
      </c>
      <c r="AY102" s="36">
        <v>0.24</v>
      </c>
      <c r="AZ102" s="36">
        <v>0.22800000000000001</v>
      </c>
      <c r="BA102" s="36">
        <v>0.17899999999999999</v>
      </c>
      <c r="BB102" s="37">
        <v>0.105</v>
      </c>
      <c r="BC102" s="36">
        <v>0.17799999999999999</v>
      </c>
      <c r="BD102" s="37">
        <v>0.19450000000000001</v>
      </c>
      <c r="BE102" s="23" t="s">
        <v>38</v>
      </c>
      <c r="BF102" s="23" t="s">
        <v>38</v>
      </c>
      <c r="BG102" s="36">
        <v>0.1895</v>
      </c>
      <c r="BH102" s="38">
        <v>0.21099999999999999</v>
      </c>
      <c r="BI102" s="38">
        <v>0.22799999999999998</v>
      </c>
      <c r="BJ102" s="38">
        <v>0.2205</v>
      </c>
      <c r="BK102" s="38">
        <v>0.22550000000000001</v>
      </c>
      <c r="BL102" s="38">
        <v>0.2235</v>
      </c>
      <c r="BM102" s="38">
        <v>0.23499999999999999</v>
      </c>
      <c r="BN102" s="23" t="s">
        <v>38</v>
      </c>
      <c r="BO102" s="40">
        <v>0.24399999999999999</v>
      </c>
      <c r="BP102" s="38">
        <v>0.25600000000000001</v>
      </c>
      <c r="BQ102" s="38">
        <v>0.14649999999999999</v>
      </c>
      <c r="BR102" s="41">
        <v>0.16300000000000001</v>
      </c>
      <c r="BS102" s="23" t="s">
        <v>38</v>
      </c>
      <c r="BT102" s="41">
        <v>0.129</v>
      </c>
      <c r="BU102" s="42">
        <v>0.1305</v>
      </c>
      <c r="BV102" s="41">
        <v>0.127</v>
      </c>
      <c r="BW102" s="42">
        <v>0.16200000000000001</v>
      </c>
      <c r="BX102" s="42">
        <v>0.17299999999999999</v>
      </c>
      <c r="BY102" s="85">
        <f>(0.279+0.281)/2</f>
        <v>0.28000000000000003</v>
      </c>
      <c r="BZ102" s="85">
        <f>(0.264+0.268)/2</f>
        <v>0.26600000000000001</v>
      </c>
      <c r="CA102" s="89">
        <v>0.35199999999999998</v>
      </c>
    </row>
    <row r="103" spans="1:79">
      <c r="A103" s="21">
        <v>74</v>
      </c>
      <c r="B103" s="82">
        <v>254459.02979100001</v>
      </c>
      <c r="C103" s="82">
        <v>4505693.6283600004</v>
      </c>
      <c r="D103" s="19">
        <v>0.25700000000000001</v>
      </c>
      <c r="E103" s="19">
        <v>0.21299999999999999</v>
      </c>
      <c r="F103" s="19">
        <v>0.2205</v>
      </c>
      <c r="G103" s="19">
        <v>0.21049999999999999</v>
      </c>
      <c r="H103" s="19">
        <v>0.20050000000000001</v>
      </c>
      <c r="I103" s="19">
        <v>0.11599999999999999</v>
      </c>
      <c r="J103" s="19">
        <v>9.2999999999999999E-2</v>
      </c>
      <c r="K103" s="19">
        <v>4.5499999999999999E-2</v>
      </c>
      <c r="L103" s="19" t="s">
        <v>38</v>
      </c>
      <c r="M103" s="19" t="s">
        <v>38</v>
      </c>
      <c r="N103" s="23" t="s">
        <v>38</v>
      </c>
      <c r="O103" s="23" t="s">
        <v>38</v>
      </c>
      <c r="P103" s="23" t="s">
        <v>38</v>
      </c>
      <c r="Q103" s="23" t="s">
        <v>38</v>
      </c>
      <c r="R103" s="23" t="s">
        <v>38</v>
      </c>
      <c r="S103" s="23" t="s">
        <v>38</v>
      </c>
      <c r="T103" s="36">
        <v>0.16700000000000001</v>
      </c>
      <c r="U103" s="36">
        <v>0.16200000000000001</v>
      </c>
      <c r="V103" s="36">
        <v>0.17599999999999999</v>
      </c>
      <c r="W103" s="36">
        <v>0.14899999999999999</v>
      </c>
      <c r="X103" s="36">
        <v>0.104</v>
      </c>
      <c r="Y103" s="36">
        <v>0.11799999999999999</v>
      </c>
      <c r="Z103" s="36">
        <v>0.14799999999999999</v>
      </c>
      <c r="AA103" s="36">
        <v>0.18099999999999999</v>
      </c>
      <c r="AB103" s="36" t="s">
        <v>38</v>
      </c>
      <c r="AC103" s="36">
        <v>0.14899999999999999</v>
      </c>
      <c r="AD103" s="36">
        <v>0.14499999999999999</v>
      </c>
      <c r="AE103" s="36">
        <v>0.128</v>
      </c>
      <c r="AF103" s="36">
        <v>0.113</v>
      </c>
      <c r="AG103" s="36">
        <v>0.13100000000000001</v>
      </c>
      <c r="AH103" s="36">
        <v>3.6999999999999998E-2</v>
      </c>
      <c r="AI103" s="36">
        <v>8.5999999999999993E-2</v>
      </c>
      <c r="AJ103" s="36">
        <v>4.9000000000000002E-2</v>
      </c>
      <c r="AK103" s="36">
        <v>3.5999999999999997E-2</v>
      </c>
      <c r="AL103" s="36">
        <v>0.17499999999999999</v>
      </c>
      <c r="AM103" s="36">
        <v>0.151</v>
      </c>
      <c r="AN103" s="36">
        <v>0.12</v>
      </c>
      <c r="AO103" s="36" t="s">
        <v>38</v>
      </c>
      <c r="AP103" s="36">
        <v>7.8E-2</v>
      </c>
      <c r="AQ103" s="36">
        <v>0.127</v>
      </c>
      <c r="AR103" s="36">
        <v>8.8999999999999996E-2</v>
      </c>
      <c r="AS103" s="36">
        <v>6.5000000000000002E-2</v>
      </c>
      <c r="AT103" s="36">
        <v>7.3999999999999996E-2</v>
      </c>
      <c r="AU103" s="36">
        <v>4.1000000000000002E-2</v>
      </c>
      <c r="AV103" s="36">
        <v>5.5E-2</v>
      </c>
      <c r="AW103" s="36">
        <v>1.2E-2</v>
      </c>
      <c r="AX103" s="36" t="s">
        <v>38</v>
      </c>
      <c r="AY103" s="36">
        <v>0.14799999999999999</v>
      </c>
      <c r="AZ103" s="36">
        <v>0.13</v>
      </c>
      <c r="BA103" s="36">
        <v>0.26700000000000002</v>
      </c>
      <c r="BB103" s="37">
        <v>0.11399999999999999</v>
      </c>
      <c r="BC103" s="36">
        <v>0.1875</v>
      </c>
      <c r="BD103" s="37">
        <v>0.21049999999999999</v>
      </c>
      <c r="BE103" s="23" t="s">
        <v>38</v>
      </c>
      <c r="BF103" s="37">
        <v>9.4E-2</v>
      </c>
      <c r="BG103" s="36">
        <v>0.19350000000000001</v>
      </c>
      <c r="BH103" s="38">
        <v>0.17749999999999999</v>
      </c>
      <c r="BI103" s="38">
        <v>0.1925</v>
      </c>
      <c r="BJ103" s="38">
        <v>0.17049999999999998</v>
      </c>
      <c r="BK103" s="38">
        <v>0.20649999999999999</v>
      </c>
      <c r="BL103" s="38">
        <v>0.1825</v>
      </c>
      <c r="BM103" s="38">
        <v>0.21300000000000002</v>
      </c>
      <c r="BN103" s="23" t="s">
        <v>38</v>
      </c>
      <c r="BO103" s="40">
        <v>0.224</v>
      </c>
      <c r="BP103" s="38">
        <v>0.23299999999999998</v>
      </c>
      <c r="BQ103" s="38">
        <v>0.108</v>
      </c>
      <c r="BR103" s="41">
        <v>0.14450000000000002</v>
      </c>
      <c r="BS103" s="41">
        <v>9.7500000000000003E-2</v>
      </c>
      <c r="BT103" s="41">
        <v>8.299999999999999E-2</v>
      </c>
      <c r="BU103" s="42">
        <v>0.13600000000000001</v>
      </c>
      <c r="BV103" s="41">
        <v>9.4E-2</v>
      </c>
      <c r="BW103" s="42" t="s">
        <v>38</v>
      </c>
      <c r="BX103" s="42" t="s">
        <v>38</v>
      </c>
      <c r="BY103" s="85" t="s">
        <v>38</v>
      </c>
      <c r="BZ103" s="85">
        <f>(0.281+0.336)/2</f>
        <v>0.3085</v>
      </c>
      <c r="CA103" s="89">
        <v>0.2445</v>
      </c>
    </row>
    <row r="104" spans="1:79">
      <c r="A104" s="21" t="s">
        <v>35</v>
      </c>
      <c r="B104" s="82">
        <v>254460.35351799999</v>
      </c>
      <c r="C104" s="82">
        <v>4505694.28632</v>
      </c>
      <c r="D104" s="19">
        <v>0.27</v>
      </c>
      <c r="E104" s="19">
        <v>0.28449999999999998</v>
      </c>
      <c r="F104" s="19">
        <v>0.28199999999999997</v>
      </c>
      <c r="G104" s="19">
        <v>0.29449999999999998</v>
      </c>
      <c r="H104" s="19">
        <v>0.27849999999999997</v>
      </c>
      <c r="I104" s="19">
        <v>0.20250000000000001</v>
      </c>
      <c r="J104" s="19">
        <v>0.16400000000000001</v>
      </c>
      <c r="K104" s="19">
        <v>0.128</v>
      </c>
      <c r="L104" s="19">
        <v>0.2185</v>
      </c>
      <c r="M104" s="19">
        <v>0.1065</v>
      </c>
      <c r="N104" s="16">
        <v>0.1885</v>
      </c>
      <c r="O104" s="16">
        <v>9.2999999999999999E-2</v>
      </c>
      <c r="P104" s="16">
        <v>0.14000000000000001</v>
      </c>
      <c r="Q104" s="16">
        <v>0.217</v>
      </c>
      <c r="R104" s="23" t="s">
        <v>38</v>
      </c>
      <c r="S104" s="16">
        <v>0.1865</v>
      </c>
      <c r="T104" s="36">
        <v>0.29299999999999998</v>
      </c>
      <c r="U104" s="36">
        <v>0.29499999999999998</v>
      </c>
      <c r="V104" s="36">
        <v>0.30199999999999999</v>
      </c>
      <c r="W104" s="36">
        <v>0.34300000000000003</v>
      </c>
      <c r="X104" s="36">
        <v>0.28499999999999998</v>
      </c>
      <c r="Y104" s="36">
        <v>0.23899999999999999</v>
      </c>
      <c r="Z104" s="36">
        <v>0.28000000000000003</v>
      </c>
      <c r="AA104" s="36">
        <v>0.29699999999999999</v>
      </c>
      <c r="AB104" s="36">
        <v>0.33900000000000002</v>
      </c>
      <c r="AC104" s="36">
        <v>0.26700000000000002</v>
      </c>
      <c r="AD104" s="36">
        <v>0.26700000000000002</v>
      </c>
      <c r="AE104" s="36" t="s">
        <v>38</v>
      </c>
      <c r="AF104" s="36">
        <v>0.182</v>
      </c>
      <c r="AG104" s="36">
        <v>0.189</v>
      </c>
      <c r="AH104" s="36">
        <v>0.16300000000000001</v>
      </c>
      <c r="AI104" s="36">
        <v>0.182</v>
      </c>
      <c r="AJ104" s="36" t="s">
        <v>38</v>
      </c>
      <c r="AK104" s="36">
        <v>0.14699999999999999</v>
      </c>
      <c r="AL104" s="36">
        <v>0.314</v>
      </c>
      <c r="AM104" s="36">
        <v>0.32200000000000001</v>
      </c>
      <c r="AN104" s="36">
        <v>0.23300000000000001</v>
      </c>
      <c r="AO104" s="36" t="s">
        <v>38</v>
      </c>
      <c r="AP104" s="36" t="s">
        <v>38</v>
      </c>
      <c r="AQ104" s="36">
        <v>0.21299999999999999</v>
      </c>
      <c r="AR104" s="36" t="s">
        <v>38</v>
      </c>
      <c r="AS104" s="36">
        <v>0.183</v>
      </c>
      <c r="AT104" s="36" t="s">
        <v>38</v>
      </c>
      <c r="AU104" s="36">
        <v>0.151</v>
      </c>
      <c r="AV104" s="36" t="s">
        <v>38</v>
      </c>
      <c r="AW104" s="36" t="s">
        <v>38</v>
      </c>
      <c r="AX104" s="36" t="s">
        <v>38</v>
      </c>
      <c r="AY104" s="36">
        <v>0.24</v>
      </c>
      <c r="AZ104" s="36">
        <v>0.22800000000000001</v>
      </c>
      <c r="BA104" s="36">
        <v>0.26700000000000002</v>
      </c>
      <c r="BB104" s="37">
        <v>0.189</v>
      </c>
      <c r="BC104" s="36">
        <v>0.245</v>
      </c>
      <c r="BD104" s="37">
        <v>0.26450000000000001</v>
      </c>
      <c r="BE104" s="23" t="s">
        <v>38</v>
      </c>
      <c r="BF104" s="37">
        <v>0.19600000000000001</v>
      </c>
      <c r="BG104" s="36">
        <v>0.28749999999999998</v>
      </c>
      <c r="BH104" s="45" t="s">
        <v>38</v>
      </c>
      <c r="BI104" s="38">
        <v>0.27400000000000002</v>
      </c>
      <c r="BJ104" s="38">
        <v>0.27149999999999996</v>
      </c>
      <c r="BK104" s="38">
        <v>0.28000000000000003</v>
      </c>
      <c r="BL104" s="38">
        <v>0.27449999999999997</v>
      </c>
      <c r="BM104" s="38">
        <v>0.27250000000000002</v>
      </c>
      <c r="BN104" s="23" t="s">
        <v>38</v>
      </c>
      <c r="BO104" s="23" t="s">
        <v>38</v>
      </c>
      <c r="BP104" s="23" t="s">
        <v>38</v>
      </c>
      <c r="BQ104" s="38">
        <v>0.17749999999999999</v>
      </c>
      <c r="BR104" s="41">
        <v>0.21</v>
      </c>
      <c r="BS104" s="41">
        <v>0.17299999999999999</v>
      </c>
      <c r="BT104" s="41">
        <v>0.16350000000000001</v>
      </c>
      <c r="BU104" s="42">
        <v>0.191</v>
      </c>
      <c r="BV104" s="41" t="s">
        <v>38</v>
      </c>
      <c r="BW104" s="42">
        <v>0.315</v>
      </c>
      <c r="BX104" s="42" t="s">
        <v>38</v>
      </c>
      <c r="BY104" s="85">
        <f>(0.284+0.277)/2</f>
        <v>0.28049999999999997</v>
      </c>
      <c r="BZ104" s="85">
        <f>(0.386+0.378)/2</f>
        <v>0.38200000000000001</v>
      </c>
      <c r="CA104" s="89">
        <v>0.30099999999999999</v>
      </c>
    </row>
    <row r="105" spans="1:79">
      <c r="A105" s="21" t="s">
        <v>34</v>
      </c>
      <c r="B105" s="82">
        <v>254459.39995799999</v>
      </c>
      <c r="C105" s="82">
        <v>4505693.0609900001</v>
      </c>
      <c r="D105" s="19">
        <v>0.2505</v>
      </c>
      <c r="E105" s="19">
        <v>0.107</v>
      </c>
      <c r="F105" s="19">
        <v>0.109</v>
      </c>
      <c r="G105" s="19">
        <v>0.10150000000000001</v>
      </c>
      <c r="H105" s="19">
        <v>9.7500000000000003E-2</v>
      </c>
      <c r="I105" s="19">
        <v>4.5499999999999999E-2</v>
      </c>
      <c r="J105" s="19">
        <v>2.75E-2</v>
      </c>
      <c r="K105" s="19">
        <v>0</v>
      </c>
      <c r="L105" s="19">
        <v>3.85E-2</v>
      </c>
      <c r="M105" s="19">
        <v>0</v>
      </c>
      <c r="N105" s="16">
        <v>4.8000000000000001E-2</v>
      </c>
      <c r="O105" s="16">
        <v>0</v>
      </c>
      <c r="P105" s="16" t="s">
        <v>38</v>
      </c>
      <c r="Q105" s="16">
        <v>7.4499999999999997E-2</v>
      </c>
      <c r="R105" s="23" t="s">
        <v>38</v>
      </c>
      <c r="S105" s="23" t="s">
        <v>38</v>
      </c>
      <c r="T105" s="23" t="s">
        <v>38</v>
      </c>
      <c r="U105" s="23" t="s">
        <v>38</v>
      </c>
      <c r="V105" s="23" t="s">
        <v>38</v>
      </c>
      <c r="W105" s="23" t="s">
        <v>38</v>
      </c>
      <c r="X105" s="23" t="s">
        <v>38</v>
      </c>
      <c r="Y105" s="23" t="s">
        <v>38</v>
      </c>
      <c r="Z105" s="23" t="s">
        <v>38</v>
      </c>
      <c r="AA105" s="23" t="s">
        <v>38</v>
      </c>
      <c r="AB105" s="23" t="s">
        <v>38</v>
      </c>
      <c r="AC105" s="23" t="s">
        <v>38</v>
      </c>
      <c r="AD105" s="23" t="s">
        <v>38</v>
      </c>
      <c r="AE105" s="23" t="s">
        <v>38</v>
      </c>
      <c r="AF105" s="23" t="s">
        <v>38</v>
      </c>
      <c r="AG105" s="23" t="s">
        <v>38</v>
      </c>
      <c r="AH105" s="23" t="s">
        <v>38</v>
      </c>
      <c r="AI105" s="23" t="s">
        <v>38</v>
      </c>
      <c r="AJ105" s="23" t="s">
        <v>38</v>
      </c>
      <c r="AK105" s="23" t="s">
        <v>38</v>
      </c>
      <c r="AL105" s="23" t="s">
        <v>38</v>
      </c>
      <c r="AM105" s="23" t="s">
        <v>38</v>
      </c>
      <c r="AN105" s="23" t="s">
        <v>38</v>
      </c>
      <c r="AO105" s="23" t="s">
        <v>38</v>
      </c>
      <c r="AP105" s="23" t="s">
        <v>38</v>
      </c>
      <c r="AQ105" s="23" t="s">
        <v>38</v>
      </c>
      <c r="AR105" s="23" t="s">
        <v>38</v>
      </c>
      <c r="AS105" s="23" t="s">
        <v>38</v>
      </c>
      <c r="AT105" s="23" t="s">
        <v>38</v>
      </c>
      <c r="AU105" s="36" t="s">
        <v>38</v>
      </c>
      <c r="AV105" s="36" t="s">
        <v>38</v>
      </c>
      <c r="AW105" s="36" t="s">
        <v>38</v>
      </c>
      <c r="AX105" s="36" t="s">
        <v>38</v>
      </c>
      <c r="AY105" s="36">
        <v>8.5999999999999993E-2</v>
      </c>
      <c r="AZ105" s="36">
        <v>2.5999999999999999E-2</v>
      </c>
      <c r="BA105" s="36">
        <v>8.5999999999999993E-2</v>
      </c>
      <c r="BB105" s="37">
        <v>7.400000000000001E-2</v>
      </c>
      <c r="BC105" s="36">
        <v>0.124</v>
      </c>
      <c r="BD105" s="37">
        <v>0.10200000000000001</v>
      </c>
      <c r="BE105" s="23" t="s">
        <v>38</v>
      </c>
      <c r="BF105" s="37" t="s">
        <v>38</v>
      </c>
      <c r="BG105" s="36">
        <v>9.9000000000000005E-2</v>
      </c>
      <c r="BH105" s="45" t="s">
        <v>38</v>
      </c>
      <c r="BI105" s="38" t="s">
        <v>38</v>
      </c>
      <c r="BJ105" s="38" t="s">
        <v>38</v>
      </c>
      <c r="BK105" s="38">
        <v>0.10200000000000001</v>
      </c>
      <c r="BL105" s="38">
        <v>9.7500000000000003E-2</v>
      </c>
      <c r="BM105" s="38">
        <v>8.3499999999999991E-2</v>
      </c>
      <c r="BN105" s="23" t="s">
        <v>38</v>
      </c>
      <c r="BO105" s="23" t="s">
        <v>38</v>
      </c>
      <c r="BP105" s="23" t="s">
        <v>38</v>
      </c>
      <c r="BQ105" s="38" t="s">
        <v>38</v>
      </c>
      <c r="BR105" s="41">
        <v>5.2999999999999999E-2</v>
      </c>
      <c r="BS105" s="41" t="s">
        <v>38</v>
      </c>
      <c r="BT105" s="41">
        <v>1.7999999999999999E-2</v>
      </c>
      <c r="BU105" s="42">
        <v>4.2000000000000003E-2</v>
      </c>
      <c r="BV105" s="41" t="s">
        <v>38</v>
      </c>
      <c r="BW105" s="43" t="s">
        <v>38</v>
      </c>
      <c r="BX105" s="42" t="s">
        <v>38</v>
      </c>
      <c r="BY105" s="85" t="s">
        <v>38</v>
      </c>
      <c r="BZ105" s="85">
        <f>(0.209+0.226)/2</f>
        <v>0.2175</v>
      </c>
      <c r="CA105" s="89" t="s">
        <v>38</v>
      </c>
    </row>
    <row r="106" spans="1:79">
      <c r="A106" s="21" t="s">
        <v>36</v>
      </c>
      <c r="B106" s="82">
        <v>254457.54797300001</v>
      </c>
      <c r="C106" s="82">
        <v>4505693.1189799998</v>
      </c>
      <c r="D106" s="19">
        <v>0.192</v>
      </c>
      <c r="E106" s="19">
        <v>0.1565</v>
      </c>
      <c r="F106" s="19">
        <v>0.16500000000000001</v>
      </c>
      <c r="G106" s="19">
        <v>0.184</v>
      </c>
      <c r="H106" s="19">
        <v>0.155</v>
      </c>
      <c r="I106" s="19">
        <v>9.9000000000000005E-2</v>
      </c>
      <c r="J106" s="19">
        <v>6.6500000000000004E-2</v>
      </c>
      <c r="K106" s="19">
        <v>3.7499999999999999E-2</v>
      </c>
      <c r="L106" s="19">
        <v>0.11699999999999999</v>
      </c>
      <c r="M106" s="19">
        <v>1.6E-2</v>
      </c>
      <c r="N106" s="16">
        <v>9.5500000000000002E-2</v>
      </c>
      <c r="O106" s="16">
        <v>3.4500000000000003E-2</v>
      </c>
      <c r="P106" s="16" t="s">
        <v>38</v>
      </c>
      <c r="Q106" s="16">
        <v>0.13400000000000001</v>
      </c>
      <c r="R106" s="23" t="s">
        <v>38</v>
      </c>
      <c r="S106" s="23" t="s">
        <v>38</v>
      </c>
      <c r="T106" s="36">
        <v>0.24099999999999999</v>
      </c>
      <c r="U106" s="36">
        <v>0.24299999999999999</v>
      </c>
      <c r="V106" s="36">
        <v>0.247</v>
      </c>
      <c r="W106" s="36">
        <v>0.22</v>
      </c>
      <c r="X106" s="36">
        <v>0.13600000000000001</v>
      </c>
      <c r="Y106" s="36">
        <v>0.16300000000000001</v>
      </c>
      <c r="Z106" s="36">
        <v>0.17</v>
      </c>
      <c r="AA106" s="36">
        <v>0.187</v>
      </c>
      <c r="AB106" s="36">
        <v>0.24299999999999999</v>
      </c>
      <c r="AC106" s="36">
        <v>0.17100000000000001</v>
      </c>
      <c r="AD106" s="36">
        <v>0.11700000000000001</v>
      </c>
      <c r="AE106" s="36" t="s">
        <v>38</v>
      </c>
      <c r="AF106" s="36">
        <v>8.5999999999999993E-2</v>
      </c>
      <c r="AG106" s="36">
        <v>0.15</v>
      </c>
      <c r="AH106" s="36">
        <v>5.6000000000000001E-2</v>
      </c>
      <c r="AI106" s="36">
        <v>9.4E-2</v>
      </c>
      <c r="AJ106" s="23" t="s">
        <v>38</v>
      </c>
      <c r="AK106" s="36">
        <v>9.0999999999999998E-2</v>
      </c>
      <c r="AL106" s="36">
        <v>0.223</v>
      </c>
      <c r="AM106" s="36" t="s">
        <v>38</v>
      </c>
      <c r="AN106" s="36">
        <v>0.158</v>
      </c>
      <c r="AO106" s="23" t="s">
        <v>38</v>
      </c>
      <c r="AP106" s="23" t="s">
        <v>38</v>
      </c>
      <c r="AQ106" s="36">
        <v>0.11600000000000001</v>
      </c>
      <c r="AR106" s="23" t="s">
        <v>38</v>
      </c>
      <c r="AS106" s="36">
        <v>8.1000000000000003E-2</v>
      </c>
      <c r="AT106" s="23" t="s">
        <v>38</v>
      </c>
      <c r="AU106" s="36">
        <v>5.7000000000000002E-2</v>
      </c>
      <c r="AV106" s="36" t="s">
        <v>38</v>
      </c>
      <c r="AW106" s="36" t="s">
        <v>38</v>
      </c>
      <c r="AX106" s="36" t="s">
        <v>38</v>
      </c>
      <c r="AY106" s="36">
        <v>0.14749999999999999</v>
      </c>
      <c r="AZ106" s="36">
        <v>0.1295</v>
      </c>
      <c r="BA106" s="36">
        <v>0.14599999999999999</v>
      </c>
      <c r="BB106" s="37">
        <v>9.8500000000000004E-2</v>
      </c>
      <c r="BC106" s="36">
        <v>0.20300000000000001</v>
      </c>
      <c r="BD106" s="37">
        <v>0.16700000000000001</v>
      </c>
      <c r="BE106" s="23" t="s">
        <v>38</v>
      </c>
      <c r="BF106" s="37">
        <v>9.4500000000000001E-2</v>
      </c>
      <c r="BG106" s="36">
        <v>0.14299999999999999</v>
      </c>
      <c r="BH106" s="45" t="s">
        <v>38</v>
      </c>
      <c r="BI106" s="38">
        <v>0.1615</v>
      </c>
      <c r="BJ106" s="38">
        <v>0.15</v>
      </c>
      <c r="BK106" s="38">
        <v>0.17299999999999999</v>
      </c>
      <c r="BL106" s="38">
        <v>0.14499999999999999</v>
      </c>
      <c r="BM106" s="38">
        <v>0.17049999999999998</v>
      </c>
      <c r="BN106" s="23" t="s">
        <v>38</v>
      </c>
      <c r="BO106" s="23" t="s">
        <v>38</v>
      </c>
      <c r="BP106" s="23" t="s">
        <v>38</v>
      </c>
      <c r="BQ106" s="38">
        <v>6.25E-2</v>
      </c>
      <c r="BR106" s="41">
        <v>0.1095</v>
      </c>
      <c r="BS106" s="41">
        <v>5.7999999999999996E-2</v>
      </c>
      <c r="BT106" s="41">
        <v>5.5E-2</v>
      </c>
      <c r="BU106" s="42">
        <v>0.115</v>
      </c>
      <c r="BV106" s="41" t="s">
        <v>38</v>
      </c>
      <c r="BW106" s="43" t="s">
        <v>38</v>
      </c>
      <c r="BX106" s="42" t="s">
        <v>38</v>
      </c>
      <c r="BY106" s="85" t="s">
        <v>38</v>
      </c>
      <c r="BZ106" s="85" t="s">
        <v>38</v>
      </c>
      <c r="CA106" s="89" t="s">
        <v>38</v>
      </c>
    </row>
    <row r="107" spans="1:79">
      <c r="A107" s="21" t="s">
        <v>37</v>
      </c>
      <c r="B107" s="82">
        <v>254458.456752</v>
      </c>
      <c r="C107" s="82">
        <v>4505694.83213</v>
      </c>
      <c r="D107" s="19">
        <v>0.11550000000000001</v>
      </c>
      <c r="E107" s="19">
        <v>0.21249999999999999</v>
      </c>
      <c r="F107" s="19">
        <v>0.20799999999999999</v>
      </c>
      <c r="G107" s="19">
        <v>0.2485</v>
      </c>
      <c r="H107" s="19">
        <v>0.2465</v>
      </c>
      <c r="I107" s="19">
        <v>0.15</v>
      </c>
      <c r="J107" s="19">
        <v>0.1125</v>
      </c>
      <c r="K107" s="19">
        <v>9.35E-2</v>
      </c>
      <c r="L107" s="19">
        <v>0.158</v>
      </c>
      <c r="M107" s="19">
        <v>6.5500000000000003E-2</v>
      </c>
      <c r="N107" s="16">
        <v>0.13150000000000001</v>
      </c>
      <c r="O107" s="16">
        <v>8.4499999999999992E-2</v>
      </c>
      <c r="P107" s="16" t="s">
        <v>38</v>
      </c>
      <c r="Q107" s="16">
        <v>0.154</v>
      </c>
      <c r="R107" s="16">
        <v>0.19650000000000001</v>
      </c>
      <c r="S107" s="23" t="s">
        <v>38</v>
      </c>
      <c r="T107" s="36">
        <v>0.248</v>
      </c>
      <c r="U107" s="36">
        <v>0.247</v>
      </c>
      <c r="V107" s="36">
        <v>0.28199999999999997</v>
      </c>
      <c r="W107" s="36">
        <v>0.309</v>
      </c>
      <c r="X107" s="36">
        <v>0.24299999999999999</v>
      </c>
      <c r="Y107" s="36">
        <v>0.23200000000000001</v>
      </c>
      <c r="Z107" s="36">
        <v>0.28599999999999998</v>
      </c>
      <c r="AA107" s="36">
        <v>0.29099999999999998</v>
      </c>
      <c r="AB107" s="36">
        <v>0.32300000000000001</v>
      </c>
      <c r="AC107" s="36">
        <v>0.24299999999999999</v>
      </c>
      <c r="AD107" s="36">
        <v>0.20499999999999999</v>
      </c>
      <c r="AE107" s="36" t="s">
        <v>38</v>
      </c>
      <c r="AF107" s="36">
        <v>0.14899999999999999</v>
      </c>
      <c r="AG107" s="36">
        <v>0.17199999999999999</v>
      </c>
      <c r="AH107" s="36">
        <v>0.11799999999999999</v>
      </c>
      <c r="AI107" s="36">
        <v>0.14499999999999999</v>
      </c>
      <c r="AJ107" s="23" t="s">
        <v>38</v>
      </c>
      <c r="AK107" s="36">
        <v>0.108</v>
      </c>
      <c r="AL107" s="36">
        <v>0.255</v>
      </c>
      <c r="AM107" s="36">
        <v>0.28199999999999997</v>
      </c>
      <c r="AN107" s="36">
        <v>0.22</v>
      </c>
      <c r="AO107" s="23" t="s">
        <v>38</v>
      </c>
      <c r="AP107" s="23" t="s">
        <v>38</v>
      </c>
      <c r="AQ107" s="36">
        <v>0.17399999999999999</v>
      </c>
      <c r="AR107" s="23" t="s">
        <v>38</v>
      </c>
      <c r="AS107" s="36">
        <v>0.13100000000000001</v>
      </c>
      <c r="AT107" s="23" t="s">
        <v>38</v>
      </c>
      <c r="AU107" s="36">
        <v>9.1999999999999998E-2</v>
      </c>
      <c r="AV107" s="36" t="s">
        <v>38</v>
      </c>
      <c r="AW107" s="36" t="s">
        <v>38</v>
      </c>
      <c r="AX107" s="36" t="s">
        <v>38</v>
      </c>
      <c r="AY107" s="36">
        <v>0.20599999999999999</v>
      </c>
      <c r="AZ107" s="36">
        <v>0.152</v>
      </c>
      <c r="BA107" s="36">
        <v>0.214</v>
      </c>
      <c r="BB107" s="37">
        <v>0.13700000000000001</v>
      </c>
      <c r="BC107" s="44" t="s">
        <v>38</v>
      </c>
      <c r="BD107" s="37" t="s">
        <v>38</v>
      </c>
      <c r="BE107" s="23" t="s">
        <v>38</v>
      </c>
      <c r="BF107" s="37">
        <v>0.11899999999999999</v>
      </c>
      <c r="BG107" s="36">
        <v>0.23250000000000001</v>
      </c>
      <c r="BH107" s="45" t="s">
        <v>38</v>
      </c>
      <c r="BI107" s="38">
        <v>0.25650000000000001</v>
      </c>
      <c r="BJ107" s="38">
        <v>0.2235</v>
      </c>
      <c r="BK107" s="38">
        <v>0.23149999999999998</v>
      </c>
      <c r="BL107" s="38">
        <v>0.23849999999999999</v>
      </c>
      <c r="BM107" s="38">
        <v>0.23949999999999999</v>
      </c>
      <c r="BN107" s="23" t="s">
        <v>38</v>
      </c>
      <c r="BO107" s="23" t="s">
        <v>38</v>
      </c>
      <c r="BP107" s="23" t="s">
        <v>38</v>
      </c>
      <c r="BQ107" s="38">
        <v>0.11799999999999999</v>
      </c>
      <c r="BR107" s="41">
        <v>0.156</v>
      </c>
      <c r="BS107" s="41">
        <v>0.1235</v>
      </c>
      <c r="BT107" s="41">
        <v>0.121</v>
      </c>
      <c r="BU107" s="42">
        <v>0.155</v>
      </c>
      <c r="BV107" s="41" t="s">
        <v>38</v>
      </c>
      <c r="BW107" s="43" t="s">
        <v>38</v>
      </c>
      <c r="BX107" s="42" t="s">
        <v>38</v>
      </c>
      <c r="BY107" s="85">
        <f>(0.261+0.263)/2</f>
        <v>0.26200000000000001</v>
      </c>
      <c r="BZ107" s="85">
        <f>(0.352+0.38)/2</f>
        <v>0.36599999999999999</v>
      </c>
      <c r="CA107" s="89">
        <v>0.28549999999999998</v>
      </c>
    </row>
    <row r="108" spans="1:79">
      <c r="P108" s="22"/>
      <c r="Q108" s="22"/>
    </row>
    <row r="109" spans="1:79">
      <c r="P109" s="22"/>
      <c r="Q109" s="22"/>
    </row>
    <row r="110" spans="1:79">
      <c r="P110" s="22"/>
      <c r="Q110" s="22"/>
    </row>
    <row r="116" spans="16:17">
      <c r="P116" s="22"/>
      <c r="Q116" s="22"/>
    </row>
    <row r="117" spans="16:17">
      <c r="P117" s="22"/>
      <c r="Q117" s="22"/>
    </row>
    <row r="118" spans="16:17">
      <c r="P118" s="22"/>
      <c r="Q118" s="22"/>
    </row>
    <row r="119" spans="16:17">
      <c r="Q119" s="22"/>
    </row>
    <row r="120" spans="16:17">
      <c r="Q120" s="22"/>
    </row>
  </sheetData>
  <mergeCells count="11">
    <mergeCell ref="BY12:BZ12"/>
    <mergeCell ref="BY7:BZ7"/>
    <mergeCell ref="BY8:BZ8"/>
    <mergeCell ref="BY9:BZ9"/>
    <mergeCell ref="BY10:BZ10"/>
    <mergeCell ref="BY11:BZ11"/>
    <mergeCell ref="BY13:BZ13"/>
    <mergeCell ref="BY14:BZ14"/>
    <mergeCell ref="BY15:BZ15"/>
    <mergeCell ref="BY16:BZ16"/>
    <mergeCell ref="BY40:BZ40"/>
  </mergeCells>
  <phoneticPr fontId="27" type="noConversion"/>
  <pageMargins left="0.7" right="0.7" top="0.75" bottom="0.75" header="0.3" footer="0.3"/>
  <pageSetup orientation="portrait" horizontalDpi="200" verticalDpi="200" copies="0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A115"/>
  <sheetViews>
    <sheetView workbookViewId="0">
      <selection activeCell="BY108" sqref="BY108:CA218"/>
    </sheetView>
  </sheetViews>
  <sheetFormatPr defaultColWidth="8.85546875" defaultRowHeight="15.75"/>
  <cols>
    <col min="1" max="1" width="5.140625" style="15" bestFit="1" customWidth="1"/>
    <col min="2" max="3" width="19.7109375" style="82" customWidth="1"/>
    <col min="4" max="4" width="10.42578125" style="15" customWidth="1"/>
    <col min="5" max="5" width="11.42578125" style="15" customWidth="1"/>
    <col min="6" max="7" width="10.42578125" style="15" customWidth="1"/>
    <col min="8" max="8" width="9.85546875" style="15" customWidth="1"/>
    <col min="9" max="9" width="10" style="15" customWidth="1"/>
    <col min="10" max="10" width="10.42578125" style="15" customWidth="1"/>
    <col min="11" max="11" width="11.28515625" style="15" customWidth="1"/>
    <col min="12" max="13" width="10.42578125" style="15" customWidth="1"/>
    <col min="14" max="16" width="8.85546875" style="16"/>
    <col min="17" max="17" width="10" style="16" customWidth="1"/>
    <col min="18" max="18" width="13" style="16" customWidth="1"/>
    <col min="19" max="19" width="11.42578125" style="16" customWidth="1"/>
    <col min="20" max="20" width="12" style="19" customWidth="1"/>
    <col min="21" max="21" width="11.42578125" style="7" customWidth="1"/>
    <col min="22" max="22" width="12.42578125" style="19" customWidth="1"/>
    <col min="23" max="23" width="11.140625" style="19" customWidth="1"/>
    <col min="24" max="24" width="11.42578125" style="19" customWidth="1"/>
    <col min="25" max="26" width="9.7109375" style="19" customWidth="1"/>
    <col min="27" max="27" width="10" style="7" customWidth="1"/>
    <col min="28" max="28" width="8.85546875" style="15"/>
    <col min="29" max="30" width="9.42578125" style="15" customWidth="1"/>
    <col min="31" max="31" width="9.28515625" style="15" customWidth="1"/>
    <col min="32" max="36" width="8.85546875" style="15"/>
    <col min="37" max="37" width="10" style="15" customWidth="1"/>
    <col min="38" max="38" width="11.140625" style="15" customWidth="1"/>
    <col min="39" max="39" width="10.7109375" style="15" customWidth="1"/>
    <col min="40" max="76" width="10.42578125" style="15" customWidth="1"/>
    <col min="77" max="77" width="10.42578125" style="76" customWidth="1"/>
    <col min="78" max="78" width="11.42578125" style="76" customWidth="1"/>
    <col min="79" max="79" width="10.42578125" style="76" customWidth="1"/>
    <col min="80" max="16384" width="8.85546875" style="15"/>
  </cols>
  <sheetData>
    <row r="1" spans="1:79">
      <c r="A1" s="21" t="s">
        <v>57</v>
      </c>
      <c r="B1" s="82" t="s">
        <v>54</v>
      </c>
      <c r="C1" s="82" t="s">
        <v>55</v>
      </c>
      <c r="D1" s="19" t="s">
        <v>117</v>
      </c>
      <c r="E1" s="19" t="s">
        <v>116</v>
      </c>
      <c r="F1" s="19" t="s">
        <v>115</v>
      </c>
      <c r="G1" s="19" t="s">
        <v>114</v>
      </c>
      <c r="H1" s="19" t="s">
        <v>113</v>
      </c>
      <c r="I1" s="19" t="s">
        <v>112</v>
      </c>
      <c r="J1" s="19" t="s">
        <v>111</v>
      </c>
      <c r="K1" s="19" t="s">
        <v>110</v>
      </c>
      <c r="L1" s="19" t="s">
        <v>109</v>
      </c>
      <c r="M1" s="19" t="s">
        <v>108</v>
      </c>
      <c r="N1" s="16" t="s">
        <v>107</v>
      </c>
      <c r="O1" s="16" t="s">
        <v>106</v>
      </c>
      <c r="P1" s="16" t="s">
        <v>105</v>
      </c>
      <c r="Q1" s="16" t="s">
        <v>104</v>
      </c>
      <c r="R1" s="21" t="s">
        <v>103</v>
      </c>
      <c r="S1" s="23" t="s">
        <v>102</v>
      </c>
      <c r="T1" s="31" t="s">
        <v>82</v>
      </c>
      <c r="U1" s="31" t="s">
        <v>83</v>
      </c>
      <c r="V1" s="31" t="s">
        <v>84</v>
      </c>
      <c r="W1" s="31" t="s">
        <v>85</v>
      </c>
      <c r="X1" s="31" t="s">
        <v>86</v>
      </c>
      <c r="Y1" s="31" t="s">
        <v>87</v>
      </c>
      <c r="Z1" s="31" t="s">
        <v>88</v>
      </c>
      <c r="AA1" s="31" t="s">
        <v>89</v>
      </c>
      <c r="AB1" s="31" t="s">
        <v>90</v>
      </c>
      <c r="AC1" s="31" t="s">
        <v>91</v>
      </c>
      <c r="AD1" s="31" t="s">
        <v>92</v>
      </c>
      <c r="AE1" s="31" t="s">
        <v>93</v>
      </c>
      <c r="AF1" s="31" t="s">
        <v>94</v>
      </c>
      <c r="AG1" s="31" t="s">
        <v>95</v>
      </c>
      <c r="AH1" s="31" t="s">
        <v>96</v>
      </c>
      <c r="AI1" s="31" t="s">
        <v>97</v>
      </c>
      <c r="AJ1" s="31" t="s">
        <v>98</v>
      </c>
      <c r="AK1" s="31" t="s">
        <v>99</v>
      </c>
      <c r="AL1" s="31" t="s">
        <v>100</v>
      </c>
      <c r="AM1" s="31" t="s">
        <v>101</v>
      </c>
      <c r="AN1" s="31" t="s">
        <v>118</v>
      </c>
      <c r="AO1" s="31" t="s">
        <v>119</v>
      </c>
      <c r="AP1" s="31" t="s">
        <v>120</v>
      </c>
      <c r="AQ1" s="31" t="s">
        <v>121</v>
      </c>
      <c r="AR1" s="31" t="s">
        <v>122</v>
      </c>
      <c r="AS1" s="31" t="s">
        <v>123</v>
      </c>
      <c r="AT1" s="31" t="s">
        <v>124</v>
      </c>
      <c r="AU1" s="31" t="s">
        <v>125</v>
      </c>
      <c r="AV1" s="31" t="s">
        <v>126</v>
      </c>
      <c r="AW1" s="31" t="s">
        <v>127</v>
      </c>
      <c r="AX1" s="31" t="s">
        <v>128</v>
      </c>
      <c r="AY1" s="31" t="s">
        <v>129</v>
      </c>
      <c r="AZ1" s="31" t="s">
        <v>130</v>
      </c>
      <c r="BA1" s="31" t="s">
        <v>131</v>
      </c>
      <c r="BB1" s="32" t="s">
        <v>132</v>
      </c>
      <c r="BC1" s="32" t="s">
        <v>133</v>
      </c>
      <c r="BD1" s="32" t="s">
        <v>134</v>
      </c>
      <c r="BE1" s="32" t="s">
        <v>135</v>
      </c>
      <c r="BF1" s="32" t="s">
        <v>136</v>
      </c>
      <c r="BG1" s="31" t="s">
        <v>81</v>
      </c>
      <c r="BH1" s="31" t="s">
        <v>137</v>
      </c>
      <c r="BI1" s="33" t="s">
        <v>80</v>
      </c>
      <c r="BJ1" s="31" t="s">
        <v>138</v>
      </c>
      <c r="BK1" s="31" t="s">
        <v>139</v>
      </c>
      <c r="BL1" s="31" t="s">
        <v>140</v>
      </c>
      <c r="BM1" s="31" t="s">
        <v>141</v>
      </c>
      <c r="BN1" s="31" t="s">
        <v>142</v>
      </c>
      <c r="BO1" s="31" t="s">
        <v>143</v>
      </c>
      <c r="BP1" s="31" t="s">
        <v>144</v>
      </c>
      <c r="BQ1" s="33" t="s">
        <v>145</v>
      </c>
      <c r="BR1" s="34" t="s">
        <v>146</v>
      </c>
      <c r="BS1" s="34" t="s">
        <v>147</v>
      </c>
      <c r="BT1" s="34" t="s">
        <v>148</v>
      </c>
      <c r="BU1" s="35" t="s">
        <v>149</v>
      </c>
      <c r="BV1" s="34" t="s">
        <v>150</v>
      </c>
      <c r="BW1" s="35" t="s">
        <v>151</v>
      </c>
      <c r="BX1" s="35" t="s">
        <v>152</v>
      </c>
      <c r="BY1" s="69" t="s">
        <v>153</v>
      </c>
      <c r="BZ1" s="69" t="s">
        <v>154</v>
      </c>
      <c r="CA1" s="69" t="s">
        <v>155</v>
      </c>
    </row>
    <row r="2" spans="1:79">
      <c r="A2" s="21" t="s">
        <v>0</v>
      </c>
      <c r="B2" s="82">
        <v>254435.22415699999</v>
      </c>
      <c r="C2" s="82">
        <v>4505558.7383700004</v>
      </c>
      <c r="D2" s="19" t="s">
        <v>38</v>
      </c>
      <c r="E2" s="20">
        <v>0.25850000000000001</v>
      </c>
      <c r="F2" s="20">
        <v>0.2185</v>
      </c>
      <c r="G2" s="20">
        <v>0.2445</v>
      </c>
      <c r="H2" s="20">
        <v>0.2465</v>
      </c>
      <c r="I2" s="20">
        <v>0.20150000000000001</v>
      </c>
      <c r="J2" s="20">
        <v>0.17849999999999999</v>
      </c>
      <c r="K2" s="20">
        <v>0.1195</v>
      </c>
      <c r="L2" s="20">
        <v>0.18</v>
      </c>
      <c r="M2" s="20">
        <v>0.10300000000000001</v>
      </c>
      <c r="N2" s="16">
        <v>0.1555</v>
      </c>
      <c r="O2" s="16">
        <v>0.1065</v>
      </c>
      <c r="P2" s="16">
        <v>0.11449999999999999</v>
      </c>
      <c r="Q2" s="16">
        <v>0.1905</v>
      </c>
      <c r="R2" s="16">
        <v>0.2195</v>
      </c>
      <c r="S2" s="16">
        <v>0.19650000000000001</v>
      </c>
      <c r="T2" s="24">
        <v>0.223</v>
      </c>
      <c r="U2" s="24">
        <v>0.224</v>
      </c>
      <c r="V2" s="24">
        <v>0.26</v>
      </c>
      <c r="W2" s="24">
        <v>0.23899999999999999</v>
      </c>
      <c r="X2" s="24">
        <v>0.22</v>
      </c>
      <c r="Y2" s="24">
        <v>0.19800000000000001</v>
      </c>
      <c r="Z2" s="23">
        <v>0.21</v>
      </c>
      <c r="AA2" s="24">
        <v>0.219</v>
      </c>
      <c r="AB2" s="24">
        <v>0.28699999999999998</v>
      </c>
      <c r="AC2" s="24">
        <v>0.28000000000000003</v>
      </c>
      <c r="AD2" s="24">
        <v>0.27200000000000002</v>
      </c>
      <c r="AE2" s="24">
        <v>0.247</v>
      </c>
      <c r="AF2" s="24">
        <v>0.19900000000000001</v>
      </c>
      <c r="AG2" s="24">
        <v>0.20499999999999999</v>
      </c>
      <c r="AH2" s="24">
        <v>0.13400000000000001</v>
      </c>
      <c r="AI2" s="24">
        <v>0.11799999999999999</v>
      </c>
      <c r="AJ2" s="24">
        <v>0.161</v>
      </c>
      <c r="AK2" s="24">
        <v>0.152</v>
      </c>
      <c r="AL2" s="24">
        <v>0.30599999999999999</v>
      </c>
      <c r="AM2" s="24">
        <v>0.26800000000000002</v>
      </c>
      <c r="AN2" s="40">
        <v>0.22800000000000001</v>
      </c>
      <c r="AO2" s="40">
        <v>0.17799999999999999</v>
      </c>
      <c r="AP2" s="40">
        <v>0.184</v>
      </c>
      <c r="AQ2" s="40">
        <v>0.23699999999999999</v>
      </c>
      <c r="AR2" s="40">
        <v>0.20300000000000001</v>
      </c>
      <c r="AS2" s="40">
        <v>0.20200000000000001</v>
      </c>
      <c r="AT2" s="40">
        <v>0.19500000000000001</v>
      </c>
      <c r="AU2" s="40">
        <v>0.17199999999999999</v>
      </c>
      <c r="AV2" s="40">
        <v>0.14599999999999999</v>
      </c>
      <c r="AW2" s="40">
        <v>0.13700000000000001</v>
      </c>
      <c r="AX2" s="40">
        <v>0.11</v>
      </c>
      <c r="AY2" s="40">
        <v>0.189</v>
      </c>
      <c r="AZ2" s="40">
        <v>0.154</v>
      </c>
      <c r="BA2" s="40">
        <v>0.19500000000000001</v>
      </c>
      <c r="BB2" s="49" t="s">
        <v>38</v>
      </c>
      <c r="BC2" s="40">
        <v>0.1865</v>
      </c>
      <c r="BD2" s="23" t="s">
        <v>38</v>
      </c>
      <c r="BE2" s="23" t="s">
        <v>38</v>
      </c>
      <c r="BF2" s="23" t="s">
        <v>38</v>
      </c>
      <c r="BG2" s="40">
        <v>0.2165</v>
      </c>
      <c r="BH2" s="38">
        <v>0.189</v>
      </c>
      <c r="BI2" s="38">
        <v>0.20499999999999999</v>
      </c>
      <c r="BJ2" s="38">
        <v>0.22700000000000001</v>
      </c>
      <c r="BK2" s="38">
        <v>0.23333333333333331</v>
      </c>
      <c r="BL2" s="38">
        <v>0.20050000000000001</v>
      </c>
      <c r="BM2" s="38">
        <v>0.1895</v>
      </c>
      <c r="BN2" s="23" t="s">
        <v>38</v>
      </c>
      <c r="BO2" s="40">
        <v>0.21300000000000002</v>
      </c>
      <c r="BP2" s="38">
        <v>0.20250000000000001</v>
      </c>
      <c r="BQ2" s="38">
        <v>0.19800000000000001</v>
      </c>
      <c r="BR2" s="41">
        <v>0.20749999999999999</v>
      </c>
      <c r="BS2" s="23" t="s">
        <v>38</v>
      </c>
      <c r="BT2" s="41">
        <v>0.2175</v>
      </c>
      <c r="BU2" s="42" t="s">
        <v>38</v>
      </c>
      <c r="BV2" s="41">
        <v>0.17949999999999999</v>
      </c>
      <c r="BW2" s="42">
        <v>0.20499999999999999</v>
      </c>
      <c r="BX2" s="42">
        <v>0.20499999999999999</v>
      </c>
      <c r="BY2" s="85">
        <f>(0.258+0.277)/2</f>
        <v>0.26750000000000002</v>
      </c>
      <c r="BZ2" s="85">
        <f>(0.191+0.183)/2</f>
        <v>0.187</v>
      </c>
      <c r="CA2" s="87">
        <v>0.317</v>
      </c>
    </row>
    <row r="3" spans="1:79">
      <c r="A3" s="21" t="s">
        <v>1</v>
      </c>
      <c r="B3" s="82">
        <v>254434.193532</v>
      </c>
      <c r="C3" s="82">
        <v>4505555.6557400003</v>
      </c>
      <c r="D3" s="19" t="s">
        <v>38</v>
      </c>
      <c r="E3" s="20">
        <v>0.2155</v>
      </c>
      <c r="F3" s="20">
        <v>0.21149999999999999</v>
      </c>
      <c r="G3" s="20">
        <v>0.22900000000000001</v>
      </c>
      <c r="H3" s="20">
        <v>0.217</v>
      </c>
      <c r="I3" s="20">
        <v>0.20050000000000001</v>
      </c>
      <c r="J3" s="20">
        <v>0.16500000000000001</v>
      </c>
      <c r="K3" s="20">
        <v>0.121</v>
      </c>
      <c r="L3" s="20">
        <v>0.17449999999999999</v>
      </c>
      <c r="M3" s="20">
        <v>0.11149999999999999</v>
      </c>
      <c r="N3" s="16">
        <v>0.16599999999999998</v>
      </c>
      <c r="O3" s="16">
        <v>0.13700000000000001</v>
      </c>
      <c r="P3" s="16">
        <v>0.1275</v>
      </c>
      <c r="Q3" s="16">
        <v>0.19650000000000001</v>
      </c>
      <c r="R3" s="16" t="s">
        <v>38</v>
      </c>
      <c r="S3" s="16">
        <v>0.20450000000000002</v>
      </c>
      <c r="T3" s="24">
        <v>0.20799999999999999</v>
      </c>
      <c r="U3" s="24">
        <v>0.23300000000000001</v>
      </c>
      <c r="V3" s="24">
        <v>0.22700000000000001</v>
      </c>
      <c r="W3" s="24">
        <v>0.246</v>
      </c>
      <c r="X3" s="24">
        <v>0.20300000000000001</v>
      </c>
      <c r="Y3" s="24">
        <v>0.183</v>
      </c>
      <c r="Z3" s="23">
        <v>0.221</v>
      </c>
      <c r="AA3" s="24">
        <v>0.22500000000000001</v>
      </c>
      <c r="AB3" s="24">
        <v>0.23599999999999999</v>
      </c>
      <c r="AC3" s="24">
        <v>0.249</v>
      </c>
      <c r="AD3" s="24">
        <v>0.23499999999999999</v>
      </c>
      <c r="AE3" s="24">
        <v>0.20300000000000001</v>
      </c>
      <c r="AF3" s="24">
        <v>0.186</v>
      </c>
      <c r="AG3" s="24">
        <v>0.17599999999999999</v>
      </c>
      <c r="AH3" s="24">
        <v>0.112</v>
      </c>
      <c r="AI3" s="24">
        <v>0.11899999999999999</v>
      </c>
      <c r="AJ3" s="24">
        <v>0.151</v>
      </c>
      <c r="AK3" s="24">
        <v>0.13400000000000001</v>
      </c>
      <c r="AL3" s="24">
        <v>0.25600000000000001</v>
      </c>
      <c r="AM3" s="24">
        <v>0.21199999999999999</v>
      </c>
      <c r="AN3" s="40">
        <v>0.222</v>
      </c>
      <c r="AO3" s="40">
        <v>0.156</v>
      </c>
      <c r="AP3" s="40">
        <v>0.21199999999999999</v>
      </c>
      <c r="AQ3" s="40">
        <v>0.22</v>
      </c>
      <c r="AR3" s="40">
        <v>0.188</v>
      </c>
      <c r="AS3" s="40">
        <v>0.19900000000000001</v>
      </c>
      <c r="AT3" s="40">
        <v>0.20699999999999999</v>
      </c>
      <c r="AU3" s="40">
        <v>0.17</v>
      </c>
      <c r="AV3" s="40">
        <v>0.14799999999999999</v>
      </c>
      <c r="AW3" s="40">
        <v>0.14199999999999999</v>
      </c>
      <c r="AX3" s="40">
        <v>0.123</v>
      </c>
      <c r="AY3" s="40">
        <v>0.20100000000000001</v>
      </c>
      <c r="AZ3" s="40">
        <v>0.17299999999999999</v>
      </c>
      <c r="BA3" s="40">
        <v>0.18099999999999999</v>
      </c>
      <c r="BB3" s="49" t="s">
        <v>38</v>
      </c>
      <c r="BC3" s="40" t="s">
        <v>38</v>
      </c>
      <c r="BD3" s="23" t="s">
        <v>38</v>
      </c>
      <c r="BE3" s="23" t="s">
        <v>38</v>
      </c>
      <c r="BF3" s="23" t="s">
        <v>38</v>
      </c>
      <c r="BG3" s="40">
        <v>0.221</v>
      </c>
      <c r="BH3" s="38">
        <v>0.19550000000000001</v>
      </c>
      <c r="BI3" s="38">
        <v>0.19900000000000001</v>
      </c>
      <c r="BJ3" s="38">
        <v>0.20849999999999999</v>
      </c>
      <c r="BK3" s="38">
        <v>0.19600000000000001</v>
      </c>
      <c r="BL3" s="38">
        <v>0.19900000000000001</v>
      </c>
      <c r="BM3" s="38">
        <v>0.221</v>
      </c>
      <c r="BN3" s="23" t="s">
        <v>38</v>
      </c>
      <c r="BO3" s="40">
        <v>0.217</v>
      </c>
      <c r="BP3" s="38">
        <v>0.23549999999999999</v>
      </c>
      <c r="BQ3" s="38">
        <v>0.17899999999999999</v>
      </c>
      <c r="BR3" s="41">
        <v>0.21149999999999999</v>
      </c>
      <c r="BS3" s="23" t="s">
        <v>38</v>
      </c>
      <c r="BT3" s="41">
        <v>0.1825</v>
      </c>
      <c r="BU3" s="42" t="s">
        <v>38</v>
      </c>
      <c r="BV3" s="41">
        <v>0.16350000000000001</v>
      </c>
      <c r="BW3" s="42">
        <v>0.19500000000000001</v>
      </c>
      <c r="BX3" s="42">
        <v>0.223</v>
      </c>
      <c r="BY3" s="85">
        <f>(0.249+0.255)/2</f>
        <v>0.252</v>
      </c>
      <c r="BZ3" s="85">
        <f>(0.219+0.222)/2</f>
        <v>0.2205</v>
      </c>
      <c r="CA3" s="87">
        <v>0.33350000000000002</v>
      </c>
    </row>
    <row r="4" spans="1:79">
      <c r="A4" s="21" t="s">
        <v>2</v>
      </c>
      <c r="B4" s="82">
        <v>254437.047169</v>
      </c>
      <c r="C4" s="82">
        <v>4505550.4602800002</v>
      </c>
      <c r="D4" s="19" t="s">
        <v>38</v>
      </c>
      <c r="E4" s="20">
        <v>0.2495</v>
      </c>
      <c r="F4" s="20">
        <v>0.19550000000000001</v>
      </c>
      <c r="G4" s="20">
        <v>0.21700000000000003</v>
      </c>
      <c r="H4" s="20">
        <v>0.16850000000000001</v>
      </c>
      <c r="I4" s="20">
        <v>0.15849999999999997</v>
      </c>
      <c r="J4" s="20">
        <v>0.14499999999999999</v>
      </c>
      <c r="K4" s="20">
        <v>9.1999999999999998E-2</v>
      </c>
      <c r="L4" s="20">
        <v>0.16500000000000001</v>
      </c>
      <c r="M4" s="20">
        <v>8.7499999999999994E-2</v>
      </c>
      <c r="N4" s="16">
        <v>0.16299999999999998</v>
      </c>
      <c r="O4" s="16">
        <v>9.6000000000000002E-2</v>
      </c>
      <c r="P4" s="16">
        <v>0.10450000000000001</v>
      </c>
      <c r="Q4" s="16">
        <v>0.16750000000000001</v>
      </c>
      <c r="R4" s="16">
        <v>0.21</v>
      </c>
      <c r="S4" s="16">
        <v>0.16549999999999998</v>
      </c>
      <c r="T4" s="24">
        <v>0.186</v>
      </c>
      <c r="U4" s="24">
        <v>0.20599999999999999</v>
      </c>
      <c r="V4" s="24">
        <v>0.20899999999999999</v>
      </c>
      <c r="W4" s="24">
        <v>0.2</v>
      </c>
      <c r="X4" s="24">
        <v>0.17499999999999999</v>
      </c>
      <c r="Y4" s="24">
        <v>0.14199999999999999</v>
      </c>
      <c r="Z4" s="23">
        <v>0.191</v>
      </c>
      <c r="AA4" s="24">
        <v>0.184</v>
      </c>
      <c r="AB4" s="24">
        <v>0.23200000000000001</v>
      </c>
      <c r="AC4" s="24">
        <v>0.222</v>
      </c>
      <c r="AD4" s="24">
        <v>0.20899999999999999</v>
      </c>
      <c r="AE4" s="24">
        <v>0.22800000000000001</v>
      </c>
      <c r="AF4" s="24">
        <v>0.18</v>
      </c>
      <c r="AG4" s="24">
        <v>0.17399999999999999</v>
      </c>
      <c r="AH4" s="24">
        <v>0.12</v>
      </c>
      <c r="AI4" s="24">
        <v>0.122</v>
      </c>
      <c r="AJ4" s="24">
        <v>0.14599999999999999</v>
      </c>
      <c r="AK4" s="24">
        <v>0.114</v>
      </c>
      <c r="AL4" s="24">
        <v>0.307</v>
      </c>
      <c r="AM4" s="24">
        <v>0.23</v>
      </c>
      <c r="AN4" s="40">
        <v>0.182</v>
      </c>
      <c r="AO4" s="40">
        <v>0.154</v>
      </c>
      <c r="AP4" s="40">
        <v>0.11899999999999999</v>
      </c>
      <c r="AQ4" s="40">
        <v>0.1825</v>
      </c>
      <c r="AR4" s="40">
        <v>0.161</v>
      </c>
      <c r="AS4" s="40">
        <v>0.157</v>
      </c>
      <c r="AT4" s="40">
        <v>0.156</v>
      </c>
      <c r="AU4" s="40">
        <v>0.13700000000000001</v>
      </c>
      <c r="AV4" s="40">
        <v>0.111</v>
      </c>
      <c r="AW4" s="40">
        <v>0.11700000000000001</v>
      </c>
      <c r="AX4" s="40">
        <v>0.114</v>
      </c>
      <c r="AY4" s="40">
        <v>0.16600000000000001</v>
      </c>
      <c r="AZ4" s="40">
        <v>0.16200000000000001</v>
      </c>
      <c r="BA4" s="40">
        <v>0.17799999999999999</v>
      </c>
      <c r="BB4" s="49" t="s">
        <v>38</v>
      </c>
      <c r="BC4" s="40">
        <v>0.16599999999999998</v>
      </c>
      <c r="BD4" s="23" t="s">
        <v>38</v>
      </c>
      <c r="BE4" s="23" t="s">
        <v>38</v>
      </c>
      <c r="BF4" s="23" t="s">
        <v>38</v>
      </c>
      <c r="BG4" s="40">
        <v>0.20850000000000002</v>
      </c>
      <c r="BH4" s="38">
        <v>0.183</v>
      </c>
      <c r="BI4" s="38">
        <v>0.19900000000000001</v>
      </c>
      <c r="BJ4" s="38">
        <v>0.20400000000000001</v>
      </c>
      <c r="BK4" s="38">
        <v>0.17249999999999999</v>
      </c>
      <c r="BL4" s="38">
        <v>0.182</v>
      </c>
      <c r="BM4" s="38">
        <v>0.17149999999999999</v>
      </c>
      <c r="BN4" s="23" t="s">
        <v>38</v>
      </c>
      <c r="BO4" s="40">
        <v>0.16649999999999998</v>
      </c>
      <c r="BP4" s="38">
        <v>0.153</v>
      </c>
      <c r="BQ4" s="38">
        <v>0.16300000000000001</v>
      </c>
      <c r="BR4" s="41">
        <v>0.20350000000000001</v>
      </c>
      <c r="BS4" s="23" t="s">
        <v>38</v>
      </c>
      <c r="BT4" s="41">
        <v>0.17249999999999999</v>
      </c>
      <c r="BU4" s="42" t="s">
        <v>38</v>
      </c>
      <c r="BV4" s="41">
        <v>0.13600000000000001</v>
      </c>
      <c r="BW4" s="42">
        <v>0.23799999999999999</v>
      </c>
      <c r="BX4" s="42">
        <v>0.16600000000000001</v>
      </c>
      <c r="BY4" s="85">
        <f>(0.216+0.288)/2</f>
        <v>0.252</v>
      </c>
      <c r="BZ4" s="85">
        <f>(0.145+0.155)/2</f>
        <v>0.15</v>
      </c>
      <c r="CA4" s="87">
        <v>0.27200000000000002</v>
      </c>
    </row>
    <row r="5" spans="1:79">
      <c r="A5" s="21" t="s">
        <v>3</v>
      </c>
      <c r="B5" s="82">
        <v>254438.863595</v>
      </c>
      <c r="C5" s="82">
        <v>4505538.7464199997</v>
      </c>
      <c r="D5" s="19" t="s">
        <v>38</v>
      </c>
      <c r="E5" s="20">
        <v>0.17849999999999999</v>
      </c>
      <c r="F5" s="20">
        <v>0.1615</v>
      </c>
      <c r="G5" s="20">
        <v>0.19700000000000001</v>
      </c>
      <c r="H5" s="20">
        <v>0.17599999999999999</v>
      </c>
      <c r="I5" s="20">
        <v>0.13150000000000001</v>
      </c>
      <c r="J5" s="20">
        <v>0.1195</v>
      </c>
      <c r="K5" s="20">
        <v>7.7499999999999999E-2</v>
      </c>
      <c r="L5" s="20">
        <v>0.11899999999999999</v>
      </c>
      <c r="M5" s="20">
        <v>6.3500000000000001E-2</v>
      </c>
      <c r="N5" s="16">
        <v>0.11549999999999999</v>
      </c>
      <c r="O5" s="16">
        <v>0.10450000000000001</v>
      </c>
      <c r="P5" s="16">
        <v>8.6999999999999994E-2</v>
      </c>
      <c r="Q5" s="16">
        <v>0.14700000000000002</v>
      </c>
      <c r="R5" s="16" t="s">
        <v>38</v>
      </c>
      <c r="S5" s="16">
        <v>0.1575</v>
      </c>
      <c r="T5" s="24">
        <v>0.17499999999999999</v>
      </c>
      <c r="U5" s="24">
        <v>0.18</v>
      </c>
      <c r="V5" s="24">
        <v>0.17699999999999999</v>
      </c>
      <c r="W5" s="24">
        <v>0.187</v>
      </c>
      <c r="X5" s="24">
        <v>0.13400000000000001</v>
      </c>
      <c r="Y5" s="24">
        <v>0.121</v>
      </c>
      <c r="Z5" s="23">
        <v>0.13</v>
      </c>
      <c r="AA5" s="24">
        <v>0.124</v>
      </c>
      <c r="AB5" s="24">
        <v>0.17399999999999999</v>
      </c>
      <c r="AC5" s="24">
        <v>0.14599999999999999</v>
      </c>
      <c r="AD5" s="24">
        <v>0.16800000000000001</v>
      </c>
      <c r="AE5" s="24">
        <v>0.16900000000000001</v>
      </c>
      <c r="AF5" s="24">
        <v>0.152</v>
      </c>
      <c r="AG5" s="24">
        <v>0.11899999999999999</v>
      </c>
      <c r="AH5" s="24">
        <v>7.9000000000000001E-2</v>
      </c>
      <c r="AI5" s="24">
        <v>8.5000000000000006E-2</v>
      </c>
      <c r="AJ5" s="24">
        <v>0.11700000000000001</v>
      </c>
      <c r="AK5" s="24">
        <v>9.1999999999999998E-2</v>
      </c>
      <c r="AL5" s="24">
        <v>0.19900000000000001</v>
      </c>
      <c r="AM5" s="24">
        <v>0.16400000000000001</v>
      </c>
      <c r="AN5" s="40">
        <v>0.15</v>
      </c>
      <c r="AO5" s="40">
        <v>0.11600000000000001</v>
      </c>
      <c r="AP5" s="40">
        <v>0.19400000000000001</v>
      </c>
      <c r="AQ5" s="40">
        <v>0.14099999999999999</v>
      </c>
      <c r="AR5" s="40">
        <v>0.123</v>
      </c>
      <c r="AS5" s="40">
        <v>0.11</v>
      </c>
      <c r="AT5" s="40">
        <v>0.106</v>
      </c>
      <c r="AU5" s="40">
        <v>0.10299999999999999</v>
      </c>
      <c r="AV5" s="40">
        <v>9.0999999999999998E-2</v>
      </c>
      <c r="AW5" s="40">
        <v>9.1999999999999998E-2</v>
      </c>
      <c r="AX5" s="40">
        <v>8.5999999999999993E-2</v>
      </c>
      <c r="AY5" s="40">
        <v>0.12</v>
      </c>
      <c r="AZ5" s="40">
        <v>0.11899999999999999</v>
      </c>
      <c r="BA5" s="40">
        <v>0.11700000000000001</v>
      </c>
      <c r="BB5" s="49" t="s">
        <v>38</v>
      </c>
      <c r="BC5" s="40">
        <v>0.17549999999999999</v>
      </c>
      <c r="BD5" s="23" t="s">
        <v>38</v>
      </c>
      <c r="BE5" s="23" t="s">
        <v>38</v>
      </c>
      <c r="BF5" s="23" t="s">
        <v>38</v>
      </c>
      <c r="BG5" s="40">
        <v>0.1875</v>
      </c>
      <c r="BH5" s="38">
        <v>0.13850000000000001</v>
      </c>
      <c r="BI5" s="38">
        <v>0.17349999999999999</v>
      </c>
      <c r="BJ5" s="38">
        <v>0.16300000000000001</v>
      </c>
      <c r="BK5" s="38">
        <v>0.14050000000000001</v>
      </c>
      <c r="BL5" s="38">
        <v>0.152</v>
      </c>
      <c r="BM5" s="38">
        <v>0.19750000000000001</v>
      </c>
      <c r="BN5" s="23" t="s">
        <v>38</v>
      </c>
      <c r="BO5" s="40">
        <v>0.191</v>
      </c>
      <c r="BP5" s="38">
        <v>0.20300000000000001</v>
      </c>
      <c r="BQ5" s="38">
        <v>0.1305</v>
      </c>
      <c r="BR5" s="41">
        <v>0.13</v>
      </c>
      <c r="BS5" s="23" t="s">
        <v>38</v>
      </c>
      <c r="BT5" s="41">
        <v>0.1115</v>
      </c>
      <c r="BU5" s="42">
        <v>0.11599999999999999</v>
      </c>
      <c r="BV5" s="41">
        <v>0.11749999999999999</v>
      </c>
      <c r="BW5" s="42">
        <v>0.13900000000000001</v>
      </c>
      <c r="BX5" s="42">
        <v>0.16200000000000001</v>
      </c>
      <c r="BY5" s="85">
        <f>(0.258+0.23)/2</f>
        <v>0.24399999999999999</v>
      </c>
      <c r="BZ5" s="85">
        <f>(0.185+0.201)/2</f>
        <v>0.193</v>
      </c>
      <c r="CA5" s="87">
        <v>0.28649999999999998</v>
      </c>
    </row>
    <row r="6" spans="1:79">
      <c r="A6" s="21" t="s">
        <v>4</v>
      </c>
      <c r="B6" s="82">
        <v>254443.36339700001</v>
      </c>
      <c r="C6" s="82">
        <v>4505517.0831000004</v>
      </c>
      <c r="D6" s="19" t="s">
        <v>38</v>
      </c>
      <c r="E6" s="20">
        <v>0.182</v>
      </c>
      <c r="F6" s="20">
        <v>0.17649999999999999</v>
      </c>
      <c r="G6" s="20">
        <v>0.1915</v>
      </c>
      <c r="H6" s="20">
        <v>0.1905</v>
      </c>
      <c r="I6" s="20">
        <v>0.1305</v>
      </c>
      <c r="J6" s="20">
        <v>0.11849999999999999</v>
      </c>
      <c r="K6" s="20">
        <v>9.35E-2</v>
      </c>
      <c r="L6" s="20">
        <v>0.13150000000000001</v>
      </c>
      <c r="M6" s="20">
        <v>8.5999999999999993E-2</v>
      </c>
      <c r="N6" s="16">
        <v>0.12</v>
      </c>
      <c r="O6" s="16">
        <v>8.3999999999999991E-2</v>
      </c>
      <c r="P6" s="16">
        <v>0.1</v>
      </c>
      <c r="Q6" s="16">
        <v>0.14449999999999999</v>
      </c>
      <c r="R6" s="16">
        <v>0.16149999999999998</v>
      </c>
      <c r="S6" s="16">
        <v>0.17699999999999999</v>
      </c>
      <c r="T6" s="24">
        <v>0.28799999999999998</v>
      </c>
      <c r="U6" s="24">
        <v>0.182</v>
      </c>
      <c r="V6" s="24">
        <v>0.2</v>
      </c>
      <c r="W6" s="24">
        <v>0.16700000000000001</v>
      </c>
      <c r="X6" s="24">
        <v>0.154</v>
      </c>
      <c r="Y6" s="24">
        <v>0.13700000000000001</v>
      </c>
      <c r="Z6" s="23">
        <v>0.15</v>
      </c>
      <c r="AA6" s="24">
        <v>0.16300000000000001</v>
      </c>
      <c r="AB6" s="24">
        <v>0.19900000000000001</v>
      </c>
      <c r="AC6" s="24">
        <v>0.17299999999999999</v>
      </c>
      <c r="AD6" s="24">
        <v>0.17699999999999999</v>
      </c>
      <c r="AE6" s="24">
        <v>0.161</v>
      </c>
      <c r="AF6" s="24">
        <v>0.126</v>
      </c>
      <c r="AG6" s="24">
        <v>0.13600000000000001</v>
      </c>
      <c r="AH6" s="24">
        <v>0.114</v>
      </c>
      <c r="AI6" s="24">
        <v>0.11700000000000001</v>
      </c>
      <c r="AJ6" s="24">
        <v>0.107</v>
      </c>
      <c r="AK6" s="24">
        <v>9.7000000000000003E-2</v>
      </c>
      <c r="AL6" s="24">
        <v>0.192</v>
      </c>
      <c r="AM6" s="24">
        <v>0.23300000000000001</v>
      </c>
      <c r="AN6" s="40">
        <v>0.157</v>
      </c>
      <c r="AO6" s="40">
        <v>0.107</v>
      </c>
      <c r="AP6" s="40">
        <v>0.13600000000000001</v>
      </c>
      <c r="AQ6" s="40">
        <v>0.13950000000000001</v>
      </c>
      <c r="AR6" s="40">
        <v>0.11600000000000001</v>
      </c>
      <c r="AS6" s="40">
        <v>0.121</v>
      </c>
      <c r="AT6" s="40">
        <v>0.123</v>
      </c>
      <c r="AU6" s="40">
        <v>0.109</v>
      </c>
      <c r="AV6" s="40">
        <v>0.11</v>
      </c>
      <c r="AW6" s="40">
        <v>9.1999999999999998E-2</v>
      </c>
      <c r="AX6" s="40">
        <v>0.10199999999999999</v>
      </c>
      <c r="AY6" s="40">
        <v>0.153</v>
      </c>
      <c r="AZ6" s="40">
        <v>0.13600000000000001</v>
      </c>
      <c r="BA6" s="40">
        <v>0.13700000000000001</v>
      </c>
      <c r="BB6" s="49" t="s">
        <v>38</v>
      </c>
      <c r="BC6" s="40">
        <v>0.1255</v>
      </c>
      <c r="BD6" s="23" t="s">
        <v>38</v>
      </c>
      <c r="BE6" s="23" t="s">
        <v>38</v>
      </c>
      <c r="BF6" s="23" t="s">
        <v>38</v>
      </c>
      <c r="BG6" s="40">
        <v>0.17649999999999999</v>
      </c>
      <c r="BH6" s="38">
        <v>0.152</v>
      </c>
      <c r="BI6" s="38">
        <v>0.16</v>
      </c>
      <c r="BJ6" s="38">
        <v>0.152</v>
      </c>
      <c r="BK6" s="38">
        <v>0.14699999999999999</v>
      </c>
      <c r="BL6" s="38">
        <v>0.14249999999999999</v>
      </c>
      <c r="BM6" s="38">
        <v>0.15049999999999999</v>
      </c>
      <c r="BN6" s="23" t="s">
        <v>38</v>
      </c>
      <c r="BO6" s="40">
        <v>0.14000000000000001</v>
      </c>
      <c r="BP6" s="38">
        <v>0.14350000000000002</v>
      </c>
      <c r="BQ6" s="38">
        <v>0.13150000000000001</v>
      </c>
      <c r="BR6" s="41">
        <v>0.14150000000000001</v>
      </c>
      <c r="BS6" s="23" t="s">
        <v>38</v>
      </c>
      <c r="BT6" s="41">
        <v>0.11749999999999999</v>
      </c>
      <c r="BU6" s="42">
        <v>0.13250000000000001</v>
      </c>
      <c r="BV6" s="41">
        <v>0.13500000000000001</v>
      </c>
      <c r="BW6" s="42">
        <v>0.14549999999999999</v>
      </c>
      <c r="BX6" s="42">
        <v>0.11699999999999999</v>
      </c>
      <c r="BY6" s="85">
        <f>(0.242+0.239)/2</f>
        <v>0.24049999999999999</v>
      </c>
      <c r="BZ6" s="84" t="s">
        <v>38</v>
      </c>
      <c r="CA6" s="87" t="s">
        <v>38</v>
      </c>
    </row>
    <row r="7" spans="1:79">
      <c r="A7" s="21" t="s">
        <v>5</v>
      </c>
      <c r="B7" s="82">
        <v>254468.858427</v>
      </c>
      <c r="C7" s="82">
        <v>4505567.6974299997</v>
      </c>
      <c r="D7" s="19" t="s">
        <v>38</v>
      </c>
      <c r="E7" s="19" t="s">
        <v>38</v>
      </c>
      <c r="F7" s="19" t="s">
        <v>38</v>
      </c>
      <c r="G7" s="19" t="s">
        <v>38</v>
      </c>
      <c r="H7" s="19" t="s">
        <v>38</v>
      </c>
      <c r="I7" s="19" t="s">
        <v>38</v>
      </c>
      <c r="J7" s="19" t="s">
        <v>38</v>
      </c>
      <c r="K7" s="19" t="s">
        <v>38</v>
      </c>
      <c r="L7" s="19" t="s">
        <v>38</v>
      </c>
      <c r="M7" s="19" t="s">
        <v>38</v>
      </c>
      <c r="N7" s="23" t="s">
        <v>38</v>
      </c>
      <c r="O7" s="23" t="s">
        <v>38</v>
      </c>
      <c r="P7" s="23" t="s">
        <v>38</v>
      </c>
      <c r="Q7" s="23" t="s">
        <v>38</v>
      </c>
      <c r="R7" s="23" t="s">
        <v>38</v>
      </c>
      <c r="S7" s="23" t="s">
        <v>38</v>
      </c>
      <c r="T7" s="23" t="s">
        <v>38</v>
      </c>
      <c r="U7" s="23" t="s">
        <v>38</v>
      </c>
      <c r="V7" s="23" t="s">
        <v>38</v>
      </c>
      <c r="W7" s="23" t="s">
        <v>38</v>
      </c>
      <c r="X7" s="23" t="s">
        <v>38</v>
      </c>
      <c r="Y7" s="23" t="s">
        <v>38</v>
      </c>
      <c r="Z7" s="23" t="s">
        <v>38</v>
      </c>
      <c r="AA7" s="23" t="s">
        <v>38</v>
      </c>
      <c r="AB7" s="23" t="s">
        <v>38</v>
      </c>
      <c r="AC7" s="23" t="s">
        <v>38</v>
      </c>
      <c r="AD7" s="23" t="s">
        <v>38</v>
      </c>
      <c r="AE7" s="23" t="s">
        <v>38</v>
      </c>
      <c r="AF7" s="23" t="s">
        <v>38</v>
      </c>
      <c r="AG7" s="23" t="s">
        <v>38</v>
      </c>
      <c r="AH7" s="23" t="s">
        <v>38</v>
      </c>
      <c r="AI7" s="23" t="s">
        <v>38</v>
      </c>
      <c r="AJ7" s="23" t="s">
        <v>38</v>
      </c>
      <c r="AK7" s="23" t="s">
        <v>38</v>
      </c>
      <c r="AL7" s="23" t="s">
        <v>38</v>
      </c>
      <c r="AM7" s="23" t="s">
        <v>38</v>
      </c>
      <c r="AN7" s="23" t="s">
        <v>38</v>
      </c>
      <c r="AO7" s="23" t="s">
        <v>38</v>
      </c>
      <c r="AP7" s="23" t="s">
        <v>38</v>
      </c>
      <c r="AQ7" s="23" t="s">
        <v>38</v>
      </c>
      <c r="AR7" s="23" t="s">
        <v>38</v>
      </c>
      <c r="AS7" s="23" t="s">
        <v>38</v>
      </c>
      <c r="AT7" s="23" t="s">
        <v>38</v>
      </c>
      <c r="AU7" s="23" t="s">
        <v>38</v>
      </c>
      <c r="AV7" s="23" t="s">
        <v>38</v>
      </c>
      <c r="AW7" s="23" t="s">
        <v>38</v>
      </c>
      <c r="AX7" s="23" t="s">
        <v>38</v>
      </c>
      <c r="AY7" s="23" t="s">
        <v>38</v>
      </c>
      <c r="AZ7" s="23" t="s">
        <v>38</v>
      </c>
      <c r="BA7" s="23" t="s">
        <v>38</v>
      </c>
      <c r="BB7" s="23" t="s">
        <v>38</v>
      </c>
      <c r="BC7" s="23" t="s">
        <v>38</v>
      </c>
      <c r="BD7" s="23" t="s">
        <v>38</v>
      </c>
      <c r="BE7" s="23" t="s">
        <v>38</v>
      </c>
      <c r="BF7" s="23" t="s">
        <v>38</v>
      </c>
      <c r="BG7" s="23" t="s">
        <v>38</v>
      </c>
      <c r="BH7" s="23" t="s">
        <v>38</v>
      </c>
      <c r="BI7" s="23" t="s">
        <v>38</v>
      </c>
      <c r="BJ7" s="23" t="s">
        <v>38</v>
      </c>
      <c r="BK7" s="23" t="s">
        <v>38</v>
      </c>
      <c r="BL7" s="23" t="s">
        <v>38</v>
      </c>
      <c r="BM7" s="23" t="s">
        <v>38</v>
      </c>
      <c r="BN7" s="23" t="s">
        <v>38</v>
      </c>
      <c r="BO7" s="23" t="s">
        <v>38</v>
      </c>
      <c r="BP7" s="23" t="s">
        <v>38</v>
      </c>
      <c r="BQ7" s="23" t="s">
        <v>38</v>
      </c>
      <c r="BR7" s="23" t="s">
        <v>38</v>
      </c>
      <c r="BS7" s="23" t="s">
        <v>38</v>
      </c>
      <c r="BT7" s="23" t="s">
        <v>38</v>
      </c>
      <c r="BU7" s="23" t="s">
        <v>38</v>
      </c>
      <c r="BV7" s="23" t="s">
        <v>38</v>
      </c>
      <c r="BW7" s="23" t="s">
        <v>38</v>
      </c>
      <c r="BX7" s="23" t="s">
        <v>38</v>
      </c>
      <c r="BY7" s="92" t="s">
        <v>38</v>
      </c>
      <c r="BZ7" s="92"/>
      <c r="CA7" s="86" t="s">
        <v>38</v>
      </c>
    </row>
    <row r="8" spans="1:79">
      <c r="A8" s="21" t="s">
        <v>6</v>
      </c>
      <c r="B8" s="82">
        <v>254476.14911900001</v>
      </c>
      <c r="C8" s="82">
        <v>4505545.3174999999</v>
      </c>
      <c r="D8" s="19" t="s">
        <v>38</v>
      </c>
      <c r="E8" s="19" t="s">
        <v>38</v>
      </c>
      <c r="F8" s="19" t="s">
        <v>38</v>
      </c>
      <c r="G8" s="19" t="s">
        <v>38</v>
      </c>
      <c r="H8" s="19" t="s">
        <v>38</v>
      </c>
      <c r="I8" s="19" t="s">
        <v>38</v>
      </c>
      <c r="J8" s="19" t="s">
        <v>38</v>
      </c>
      <c r="K8" s="19" t="s">
        <v>38</v>
      </c>
      <c r="L8" s="19" t="s">
        <v>38</v>
      </c>
      <c r="M8" s="19" t="s">
        <v>38</v>
      </c>
      <c r="N8" s="23" t="s">
        <v>38</v>
      </c>
      <c r="O8" s="23" t="s">
        <v>38</v>
      </c>
      <c r="P8" s="23" t="s">
        <v>38</v>
      </c>
      <c r="Q8" s="23" t="s">
        <v>38</v>
      </c>
      <c r="R8" s="23" t="s">
        <v>38</v>
      </c>
      <c r="S8" s="23" t="s">
        <v>38</v>
      </c>
      <c r="T8" s="23" t="s">
        <v>38</v>
      </c>
      <c r="U8" s="23" t="s">
        <v>38</v>
      </c>
      <c r="V8" s="23" t="s">
        <v>38</v>
      </c>
      <c r="W8" s="23" t="s">
        <v>38</v>
      </c>
      <c r="X8" s="23" t="s">
        <v>38</v>
      </c>
      <c r="Y8" s="23" t="s">
        <v>38</v>
      </c>
      <c r="Z8" s="23" t="s">
        <v>38</v>
      </c>
      <c r="AA8" s="23" t="s">
        <v>38</v>
      </c>
      <c r="AB8" s="23" t="s">
        <v>38</v>
      </c>
      <c r="AC8" s="23" t="s">
        <v>38</v>
      </c>
      <c r="AD8" s="23" t="s">
        <v>38</v>
      </c>
      <c r="AE8" s="23" t="s">
        <v>38</v>
      </c>
      <c r="AF8" s="23" t="s">
        <v>38</v>
      </c>
      <c r="AG8" s="23" t="s">
        <v>38</v>
      </c>
      <c r="AH8" s="23" t="s">
        <v>38</v>
      </c>
      <c r="AI8" s="23" t="s">
        <v>38</v>
      </c>
      <c r="AJ8" s="23" t="s">
        <v>38</v>
      </c>
      <c r="AK8" s="23" t="s">
        <v>38</v>
      </c>
      <c r="AL8" s="23" t="s">
        <v>38</v>
      </c>
      <c r="AM8" s="23" t="s">
        <v>38</v>
      </c>
      <c r="AN8" s="23" t="s">
        <v>38</v>
      </c>
      <c r="AO8" s="23" t="s">
        <v>38</v>
      </c>
      <c r="AP8" s="23" t="s">
        <v>38</v>
      </c>
      <c r="AQ8" s="23" t="s">
        <v>38</v>
      </c>
      <c r="AR8" s="23" t="s">
        <v>38</v>
      </c>
      <c r="AS8" s="23" t="s">
        <v>38</v>
      </c>
      <c r="AT8" s="23" t="s">
        <v>38</v>
      </c>
      <c r="AU8" s="23" t="s">
        <v>38</v>
      </c>
      <c r="AV8" s="23" t="s">
        <v>38</v>
      </c>
      <c r="AW8" s="23" t="s">
        <v>38</v>
      </c>
      <c r="AX8" s="23" t="s">
        <v>38</v>
      </c>
      <c r="AY8" s="23" t="s">
        <v>38</v>
      </c>
      <c r="AZ8" s="23" t="s">
        <v>38</v>
      </c>
      <c r="BA8" s="23" t="s">
        <v>38</v>
      </c>
      <c r="BB8" s="23" t="s">
        <v>38</v>
      </c>
      <c r="BC8" s="23" t="s">
        <v>38</v>
      </c>
      <c r="BD8" s="23" t="s">
        <v>38</v>
      </c>
      <c r="BE8" s="23" t="s">
        <v>38</v>
      </c>
      <c r="BF8" s="23" t="s">
        <v>38</v>
      </c>
      <c r="BG8" s="23" t="s">
        <v>38</v>
      </c>
      <c r="BH8" s="23" t="s">
        <v>38</v>
      </c>
      <c r="BI8" s="23" t="s">
        <v>38</v>
      </c>
      <c r="BJ8" s="23" t="s">
        <v>38</v>
      </c>
      <c r="BK8" s="23" t="s">
        <v>38</v>
      </c>
      <c r="BL8" s="23" t="s">
        <v>38</v>
      </c>
      <c r="BM8" s="23" t="s">
        <v>38</v>
      </c>
      <c r="BN8" s="23" t="s">
        <v>38</v>
      </c>
      <c r="BO8" s="23" t="s">
        <v>38</v>
      </c>
      <c r="BP8" s="23" t="s">
        <v>38</v>
      </c>
      <c r="BQ8" s="23" t="s">
        <v>38</v>
      </c>
      <c r="BR8" s="23" t="s">
        <v>38</v>
      </c>
      <c r="BS8" s="23" t="s">
        <v>38</v>
      </c>
      <c r="BT8" s="23" t="s">
        <v>38</v>
      </c>
      <c r="BU8" s="23" t="s">
        <v>38</v>
      </c>
      <c r="BV8" s="23" t="s">
        <v>38</v>
      </c>
      <c r="BW8" s="23" t="s">
        <v>38</v>
      </c>
      <c r="BX8" s="23" t="s">
        <v>38</v>
      </c>
      <c r="BY8" s="92" t="s">
        <v>38</v>
      </c>
      <c r="BZ8" s="92"/>
      <c r="CA8" s="86" t="s">
        <v>38</v>
      </c>
    </row>
    <row r="9" spans="1:79">
      <c r="A9" s="21" t="s">
        <v>7</v>
      </c>
      <c r="B9" s="82">
        <v>254480.78639699999</v>
      </c>
      <c r="C9" s="82">
        <v>4505534.9529600004</v>
      </c>
      <c r="D9" s="19" t="s">
        <v>38</v>
      </c>
      <c r="E9" s="19" t="s">
        <v>38</v>
      </c>
      <c r="F9" s="19" t="s">
        <v>38</v>
      </c>
      <c r="G9" s="19" t="s">
        <v>38</v>
      </c>
      <c r="H9" s="19" t="s">
        <v>38</v>
      </c>
      <c r="I9" s="19" t="s">
        <v>38</v>
      </c>
      <c r="J9" s="19" t="s">
        <v>38</v>
      </c>
      <c r="K9" s="19" t="s">
        <v>38</v>
      </c>
      <c r="L9" s="19" t="s">
        <v>38</v>
      </c>
      <c r="M9" s="19" t="s">
        <v>38</v>
      </c>
      <c r="N9" s="23" t="s">
        <v>38</v>
      </c>
      <c r="O9" s="23" t="s">
        <v>38</v>
      </c>
      <c r="P9" s="23" t="s">
        <v>38</v>
      </c>
      <c r="Q9" s="23" t="s">
        <v>38</v>
      </c>
      <c r="R9" s="23" t="s">
        <v>38</v>
      </c>
      <c r="S9" s="23" t="s">
        <v>38</v>
      </c>
      <c r="T9" s="23" t="s">
        <v>38</v>
      </c>
      <c r="U9" s="23" t="s">
        <v>38</v>
      </c>
      <c r="V9" s="23" t="s">
        <v>38</v>
      </c>
      <c r="W9" s="23" t="s">
        <v>38</v>
      </c>
      <c r="X9" s="23" t="s">
        <v>38</v>
      </c>
      <c r="Y9" s="23" t="s">
        <v>38</v>
      </c>
      <c r="Z9" s="23" t="s">
        <v>38</v>
      </c>
      <c r="AA9" s="23" t="s">
        <v>38</v>
      </c>
      <c r="AB9" s="23" t="s">
        <v>38</v>
      </c>
      <c r="AC9" s="23" t="s">
        <v>38</v>
      </c>
      <c r="AD9" s="23" t="s">
        <v>38</v>
      </c>
      <c r="AE9" s="23" t="s">
        <v>38</v>
      </c>
      <c r="AF9" s="23" t="s">
        <v>38</v>
      </c>
      <c r="AG9" s="23" t="s">
        <v>38</v>
      </c>
      <c r="AH9" s="23" t="s">
        <v>38</v>
      </c>
      <c r="AI9" s="23" t="s">
        <v>38</v>
      </c>
      <c r="AJ9" s="23" t="s">
        <v>38</v>
      </c>
      <c r="AK9" s="23" t="s">
        <v>38</v>
      </c>
      <c r="AL9" s="23" t="s">
        <v>38</v>
      </c>
      <c r="AM9" s="23" t="s">
        <v>38</v>
      </c>
      <c r="AN9" s="23" t="s">
        <v>38</v>
      </c>
      <c r="AO9" s="23" t="s">
        <v>38</v>
      </c>
      <c r="AP9" s="23" t="s">
        <v>38</v>
      </c>
      <c r="AQ9" s="23" t="s">
        <v>38</v>
      </c>
      <c r="AR9" s="23" t="s">
        <v>38</v>
      </c>
      <c r="AS9" s="23" t="s">
        <v>38</v>
      </c>
      <c r="AT9" s="23" t="s">
        <v>38</v>
      </c>
      <c r="AU9" s="23" t="s">
        <v>38</v>
      </c>
      <c r="AV9" s="23" t="s">
        <v>38</v>
      </c>
      <c r="AW9" s="23" t="s">
        <v>38</v>
      </c>
      <c r="AX9" s="23" t="s">
        <v>38</v>
      </c>
      <c r="AY9" s="23" t="s">
        <v>38</v>
      </c>
      <c r="AZ9" s="23" t="s">
        <v>38</v>
      </c>
      <c r="BA9" s="23" t="s">
        <v>38</v>
      </c>
      <c r="BB9" s="23" t="s">
        <v>38</v>
      </c>
      <c r="BC9" s="23" t="s">
        <v>38</v>
      </c>
      <c r="BD9" s="23" t="s">
        <v>38</v>
      </c>
      <c r="BE9" s="23" t="s">
        <v>38</v>
      </c>
      <c r="BF9" s="23" t="s">
        <v>38</v>
      </c>
      <c r="BG9" s="23" t="s">
        <v>38</v>
      </c>
      <c r="BH9" s="23" t="s">
        <v>38</v>
      </c>
      <c r="BI9" s="23" t="s">
        <v>38</v>
      </c>
      <c r="BJ9" s="23" t="s">
        <v>38</v>
      </c>
      <c r="BK9" s="23" t="s">
        <v>38</v>
      </c>
      <c r="BL9" s="23" t="s">
        <v>38</v>
      </c>
      <c r="BM9" s="23" t="s">
        <v>38</v>
      </c>
      <c r="BN9" s="23" t="s">
        <v>38</v>
      </c>
      <c r="BO9" s="23" t="s">
        <v>38</v>
      </c>
      <c r="BP9" s="23" t="s">
        <v>38</v>
      </c>
      <c r="BQ9" s="23" t="s">
        <v>38</v>
      </c>
      <c r="BR9" s="23" t="s">
        <v>38</v>
      </c>
      <c r="BS9" s="23" t="s">
        <v>38</v>
      </c>
      <c r="BT9" s="23" t="s">
        <v>38</v>
      </c>
      <c r="BU9" s="23" t="s">
        <v>38</v>
      </c>
      <c r="BV9" s="23" t="s">
        <v>38</v>
      </c>
      <c r="BW9" s="23" t="s">
        <v>38</v>
      </c>
      <c r="BX9" s="23" t="s">
        <v>38</v>
      </c>
      <c r="BY9" s="92" t="s">
        <v>38</v>
      </c>
      <c r="BZ9" s="92"/>
      <c r="CA9" s="86" t="s">
        <v>38</v>
      </c>
    </row>
    <row r="10" spans="1:79">
      <c r="A10" s="21" t="s">
        <v>8</v>
      </c>
      <c r="B10" s="83">
        <v>254482.79284800001</v>
      </c>
      <c r="C10" s="83">
        <v>4505529.4775599996</v>
      </c>
      <c r="D10" s="19" t="s">
        <v>38</v>
      </c>
      <c r="E10" s="19" t="s">
        <v>38</v>
      </c>
      <c r="F10" s="19" t="s">
        <v>38</v>
      </c>
      <c r="G10" s="19" t="s">
        <v>38</v>
      </c>
      <c r="H10" s="19" t="s">
        <v>38</v>
      </c>
      <c r="I10" s="19" t="s">
        <v>38</v>
      </c>
      <c r="J10" s="19" t="s">
        <v>38</v>
      </c>
      <c r="K10" s="19" t="s">
        <v>38</v>
      </c>
      <c r="L10" s="19" t="s">
        <v>38</v>
      </c>
      <c r="M10" s="19" t="s">
        <v>38</v>
      </c>
      <c r="N10" s="23" t="s">
        <v>38</v>
      </c>
      <c r="O10" s="23" t="s">
        <v>38</v>
      </c>
      <c r="P10" s="23" t="s">
        <v>38</v>
      </c>
      <c r="Q10" s="23" t="s">
        <v>38</v>
      </c>
      <c r="R10" s="23" t="s">
        <v>38</v>
      </c>
      <c r="S10" s="23" t="s">
        <v>38</v>
      </c>
      <c r="T10" s="23" t="s">
        <v>38</v>
      </c>
      <c r="U10" s="23" t="s">
        <v>38</v>
      </c>
      <c r="V10" s="23" t="s">
        <v>38</v>
      </c>
      <c r="W10" s="23" t="s">
        <v>38</v>
      </c>
      <c r="X10" s="23" t="s">
        <v>38</v>
      </c>
      <c r="Y10" s="23" t="s">
        <v>38</v>
      </c>
      <c r="Z10" s="23" t="s">
        <v>38</v>
      </c>
      <c r="AA10" s="23" t="s">
        <v>38</v>
      </c>
      <c r="AB10" s="23" t="s">
        <v>38</v>
      </c>
      <c r="AC10" s="23" t="s">
        <v>38</v>
      </c>
      <c r="AD10" s="23" t="s">
        <v>38</v>
      </c>
      <c r="AE10" s="23" t="s">
        <v>38</v>
      </c>
      <c r="AF10" s="23" t="s">
        <v>38</v>
      </c>
      <c r="AG10" s="23" t="s">
        <v>38</v>
      </c>
      <c r="AH10" s="23" t="s">
        <v>38</v>
      </c>
      <c r="AI10" s="23" t="s">
        <v>38</v>
      </c>
      <c r="AJ10" s="23" t="s">
        <v>38</v>
      </c>
      <c r="AK10" s="23" t="s">
        <v>38</v>
      </c>
      <c r="AL10" s="23" t="s">
        <v>38</v>
      </c>
      <c r="AM10" s="23" t="s">
        <v>38</v>
      </c>
      <c r="AN10" s="23" t="s">
        <v>38</v>
      </c>
      <c r="AO10" s="23" t="s">
        <v>38</v>
      </c>
      <c r="AP10" s="23" t="s">
        <v>38</v>
      </c>
      <c r="AQ10" s="23" t="s">
        <v>38</v>
      </c>
      <c r="AR10" s="23" t="s">
        <v>38</v>
      </c>
      <c r="AS10" s="23" t="s">
        <v>38</v>
      </c>
      <c r="AT10" s="23" t="s">
        <v>38</v>
      </c>
      <c r="AU10" s="23" t="s">
        <v>38</v>
      </c>
      <c r="AV10" s="23" t="s">
        <v>38</v>
      </c>
      <c r="AW10" s="23" t="s">
        <v>38</v>
      </c>
      <c r="AX10" s="23" t="s">
        <v>38</v>
      </c>
      <c r="AY10" s="23" t="s">
        <v>38</v>
      </c>
      <c r="AZ10" s="23" t="s">
        <v>38</v>
      </c>
      <c r="BA10" s="23" t="s">
        <v>38</v>
      </c>
      <c r="BB10" s="23" t="s">
        <v>38</v>
      </c>
      <c r="BC10" s="23" t="s">
        <v>38</v>
      </c>
      <c r="BD10" s="23" t="s">
        <v>38</v>
      </c>
      <c r="BE10" s="23" t="s">
        <v>38</v>
      </c>
      <c r="BF10" s="23" t="s">
        <v>38</v>
      </c>
      <c r="BG10" s="23" t="s">
        <v>38</v>
      </c>
      <c r="BH10" s="23" t="s">
        <v>38</v>
      </c>
      <c r="BI10" s="23" t="s">
        <v>38</v>
      </c>
      <c r="BJ10" s="23" t="s">
        <v>38</v>
      </c>
      <c r="BK10" s="23" t="s">
        <v>38</v>
      </c>
      <c r="BL10" s="23" t="s">
        <v>38</v>
      </c>
      <c r="BM10" s="23" t="s">
        <v>38</v>
      </c>
      <c r="BN10" s="23" t="s">
        <v>38</v>
      </c>
      <c r="BO10" s="23" t="s">
        <v>38</v>
      </c>
      <c r="BP10" s="23" t="s">
        <v>38</v>
      </c>
      <c r="BQ10" s="23" t="s">
        <v>38</v>
      </c>
      <c r="BR10" s="23" t="s">
        <v>38</v>
      </c>
      <c r="BS10" s="23" t="s">
        <v>38</v>
      </c>
      <c r="BT10" s="23" t="s">
        <v>38</v>
      </c>
      <c r="BU10" s="23" t="s">
        <v>38</v>
      </c>
      <c r="BV10" s="23" t="s">
        <v>38</v>
      </c>
      <c r="BW10" s="23" t="s">
        <v>38</v>
      </c>
      <c r="BX10" s="23" t="s">
        <v>38</v>
      </c>
      <c r="BY10" s="92" t="s">
        <v>38</v>
      </c>
      <c r="BZ10" s="92"/>
      <c r="CA10" s="86" t="s">
        <v>38</v>
      </c>
    </row>
    <row r="11" spans="1:79">
      <c r="A11" s="21" t="s">
        <v>9</v>
      </c>
      <c r="B11" s="83">
        <v>254484.75221499999</v>
      </c>
      <c r="C11" s="83">
        <v>4505526.81066</v>
      </c>
      <c r="D11" s="19" t="s">
        <v>38</v>
      </c>
      <c r="E11" s="19" t="s">
        <v>38</v>
      </c>
      <c r="F11" s="19" t="s">
        <v>38</v>
      </c>
      <c r="G11" s="19" t="s">
        <v>38</v>
      </c>
      <c r="H11" s="19" t="s">
        <v>38</v>
      </c>
      <c r="I11" s="19" t="s">
        <v>38</v>
      </c>
      <c r="J11" s="19" t="s">
        <v>38</v>
      </c>
      <c r="K11" s="19" t="s">
        <v>38</v>
      </c>
      <c r="L11" s="19" t="s">
        <v>38</v>
      </c>
      <c r="M11" s="19" t="s">
        <v>38</v>
      </c>
      <c r="N11" s="23" t="s">
        <v>38</v>
      </c>
      <c r="O11" s="23" t="s">
        <v>38</v>
      </c>
      <c r="P11" s="23" t="s">
        <v>38</v>
      </c>
      <c r="Q11" s="23" t="s">
        <v>38</v>
      </c>
      <c r="R11" s="23" t="s">
        <v>38</v>
      </c>
      <c r="S11" s="23" t="s">
        <v>38</v>
      </c>
      <c r="T11" s="23" t="s">
        <v>38</v>
      </c>
      <c r="U11" s="23" t="s">
        <v>38</v>
      </c>
      <c r="V11" s="23" t="s">
        <v>38</v>
      </c>
      <c r="W11" s="23" t="s">
        <v>38</v>
      </c>
      <c r="X11" s="23" t="s">
        <v>38</v>
      </c>
      <c r="Y11" s="23" t="s">
        <v>38</v>
      </c>
      <c r="Z11" s="23" t="s">
        <v>38</v>
      </c>
      <c r="AA11" s="23" t="s">
        <v>38</v>
      </c>
      <c r="AB11" s="23" t="s">
        <v>38</v>
      </c>
      <c r="AC11" s="23" t="s">
        <v>38</v>
      </c>
      <c r="AD11" s="23" t="s">
        <v>38</v>
      </c>
      <c r="AE11" s="23" t="s">
        <v>38</v>
      </c>
      <c r="AF11" s="23" t="s">
        <v>38</v>
      </c>
      <c r="AG11" s="23" t="s">
        <v>38</v>
      </c>
      <c r="AH11" s="23" t="s">
        <v>38</v>
      </c>
      <c r="AI11" s="23" t="s">
        <v>38</v>
      </c>
      <c r="AJ11" s="23" t="s">
        <v>38</v>
      </c>
      <c r="AK11" s="23" t="s">
        <v>38</v>
      </c>
      <c r="AL11" s="23" t="s">
        <v>38</v>
      </c>
      <c r="AM11" s="23" t="s">
        <v>38</v>
      </c>
      <c r="AN11" s="23" t="s">
        <v>38</v>
      </c>
      <c r="AO11" s="23" t="s">
        <v>38</v>
      </c>
      <c r="AP11" s="23" t="s">
        <v>38</v>
      </c>
      <c r="AQ11" s="23" t="s">
        <v>38</v>
      </c>
      <c r="AR11" s="23" t="s">
        <v>38</v>
      </c>
      <c r="AS11" s="23" t="s">
        <v>38</v>
      </c>
      <c r="AT11" s="23" t="s">
        <v>38</v>
      </c>
      <c r="AU11" s="23" t="s">
        <v>38</v>
      </c>
      <c r="AV11" s="23" t="s">
        <v>38</v>
      </c>
      <c r="AW11" s="23" t="s">
        <v>38</v>
      </c>
      <c r="AX11" s="23" t="s">
        <v>38</v>
      </c>
      <c r="AY11" s="23" t="s">
        <v>38</v>
      </c>
      <c r="AZ11" s="23" t="s">
        <v>38</v>
      </c>
      <c r="BA11" s="23" t="s">
        <v>38</v>
      </c>
      <c r="BB11" s="23" t="s">
        <v>38</v>
      </c>
      <c r="BC11" s="23" t="s">
        <v>38</v>
      </c>
      <c r="BD11" s="23" t="s">
        <v>38</v>
      </c>
      <c r="BE11" s="23" t="s">
        <v>38</v>
      </c>
      <c r="BF11" s="23" t="s">
        <v>38</v>
      </c>
      <c r="BG11" s="23" t="s">
        <v>38</v>
      </c>
      <c r="BH11" s="23" t="s">
        <v>38</v>
      </c>
      <c r="BI11" s="23" t="s">
        <v>38</v>
      </c>
      <c r="BJ11" s="23" t="s">
        <v>38</v>
      </c>
      <c r="BK11" s="23" t="s">
        <v>38</v>
      </c>
      <c r="BL11" s="23" t="s">
        <v>38</v>
      </c>
      <c r="BM11" s="23" t="s">
        <v>38</v>
      </c>
      <c r="BN11" s="23" t="s">
        <v>38</v>
      </c>
      <c r="BO11" s="23" t="s">
        <v>38</v>
      </c>
      <c r="BP11" s="23" t="s">
        <v>38</v>
      </c>
      <c r="BQ11" s="23" t="s">
        <v>38</v>
      </c>
      <c r="BR11" s="23" t="s">
        <v>38</v>
      </c>
      <c r="BS11" s="23" t="s">
        <v>38</v>
      </c>
      <c r="BT11" s="23" t="s">
        <v>38</v>
      </c>
      <c r="BU11" s="23" t="s">
        <v>38</v>
      </c>
      <c r="BV11" s="23" t="s">
        <v>38</v>
      </c>
      <c r="BW11" s="23" t="s">
        <v>38</v>
      </c>
      <c r="BX11" s="23" t="s">
        <v>38</v>
      </c>
      <c r="BY11" s="92" t="s">
        <v>38</v>
      </c>
      <c r="BZ11" s="92"/>
      <c r="CA11" s="86" t="s">
        <v>38</v>
      </c>
    </row>
    <row r="12" spans="1:79">
      <c r="A12" s="21">
        <v>1</v>
      </c>
      <c r="B12" s="83">
        <v>254273.42219000001</v>
      </c>
      <c r="C12" s="83">
        <v>4505589.5737600001</v>
      </c>
      <c r="D12" s="19" t="s">
        <v>38</v>
      </c>
      <c r="E12" s="19" t="s">
        <v>38</v>
      </c>
      <c r="F12" s="19" t="s">
        <v>38</v>
      </c>
      <c r="G12" s="19" t="s">
        <v>38</v>
      </c>
      <c r="H12" s="19" t="s">
        <v>38</v>
      </c>
      <c r="I12" s="19" t="s">
        <v>38</v>
      </c>
      <c r="J12" s="19" t="s">
        <v>38</v>
      </c>
      <c r="K12" s="19" t="s">
        <v>38</v>
      </c>
      <c r="L12" s="19" t="s">
        <v>38</v>
      </c>
      <c r="M12" s="19" t="s">
        <v>38</v>
      </c>
      <c r="N12" s="23" t="s">
        <v>38</v>
      </c>
      <c r="O12" s="23" t="s">
        <v>38</v>
      </c>
      <c r="P12" s="23" t="s">
        <v>38</v>
      </c>
      <c r="Q12" s="23" t="s">
        <v>38</v>
      </c>
      <c r="R12" s="23" t="s">
        <v>38</v>
      </c>
      <c r="S12" s="23" t="s">
        <v>38</v>
      </c>
      <c r="T12" s="23" t="s">
        <v>38</v>
      </c>
      <c r="U12" s="23" t="s">
        <v>38</v>
      </c>
      <c r="V12" s="23" t="s">
        <v>38</v>
      </c>
      <c r="W12" s="23" t="s">
        <v>38</v>
      </c>
      <c r="X12" s="23" t="s">
        <v>38</v>
      </c>
      <c r="Y12" s="23" t="s">
        <v>38</v>
      </c>
      <c r="Z12" s="23" t="s">
        <v>38</v>
      </c>
      <c r="AA12" s="23" t="s">
        <v>38</v>
      </c>
      <c r="AB12" s="23" t="s">
        <v>38</v>
      </c>
      <c r="AC12" s="23" t="s">
        <v>38</v>
      </c>
      <c r="AD12" s="23" t="s">
        <v>38</v>
      </c>
      <c r="AE12" s="23" t="s">
        <v>38</v>
      </c>
      <c r="AF12" s="23" t="s">
        <v>38</v>
      </c>
      <c r="AG12" s="23" t="s">
        <v>38</v>
      </c>
      <c r="AH12" s="23" t="s">
        <v>38</v>
      </c>
      <c r="AI12" s="23" t="s">
        <v>38</v>
      </c>
      <c r="AJ12" s="23" t="s">
        <v>38</v>
      </c>
      <c r="AK12" s="23" t="s">
        <v>38</v>
      </c>
      <c r="AL12" s="23" t="s">
        <v>38</v>
      </c>
      <c r="AM12" s="23" t="s">
        <v>38</v>
      </c>
      <c r="AN12" s="23" t="s">
        <v>38</v>
      </c>
      <c r="AO12" s="23" t="s">
        <v>38</v>
      </c>
      <c r="AP12" s="23" t="s">
        <v>38</v>
      </c>
      <c r="AQ12" s="23" t="s">
        <v>38</v>
      </c>
      <c r="AR12" s="23" t="s">
        <v>38</v>
      </c>
      <c r="AS12" s="23" t="s">
        <v>38</v>
      </c>
      <c r="AT12" s="23" t="s">
        <v>38</v>
      </c>
      <c r="AU12" s="23" t="s">
        <v>38</v>
      </c>
      <c r="AV12" s="23" t="s">
        <v>38</v>
      </c>
      <c r="AW12" s="23" t="s">
        <v>38</v>
      </c>
      <c r="AX12" s="23" t="s">
        <v>38</v>
      </c>
      <c r="AY12" s="23" t="s">
        <v>38</v>
      </c>
      <c r="AZ12" s="23" t="s">
        <v>38</v>
      </c>
      <c r="BA12" s="23" t="s">
        <v>38</v>
      </c>
      <c r="BB12" s="23" t="s">
        <v>38</v>
      </c>
      <c r="BC12" s="23" t="s">
        <v>38</v>
      </c>
      <c r="BD12" s="23" t="s">
        <v>38</v>
      </c>
      <c r="BE12" s="23" t="s">
        <v>38</v>
      </c>
      <c r="BF12" s="23" t="s">
        <v>38</v>
      </c>
      <c r="BG12" s="23" t="s">
        <v>38</v>
      </c>
      <c r="BH12" s="23" t="s">
        <v>38</v>
      </c>
      <c r="BI12" s="23" t="s">
        <v>38</v>
      </c>
      <c r="BJ12" s="23" t="s">
        <v>38</v>
      </c>
      <c r="BK12" s="23" t="s">
        <v>38</v>
      </c>
      <c r="BL12" s="23" t="s">
        <v>38</v>
      </c>
      <c r="BM12" s="23" t="s">
        <v>38</v>
      </c>
      <c r="BN12" s="23" t="s">
        <v>38</v>
      </c>
      <c r="BO12" s="23" t="s">
        <v>38</v>
      </c>
      <c r="BP12" s="23" t="s">
        <v>38</v>
      </c>
      <c r="BQ12" s="23" t="s">
        <v>38</v>
      </c>
      <c r="BR12" s="23" t="s">
        <v>38</v>
      </c>
      <c r="BS12" s="23" t="s">
        <v>38</v>
      </c>
      <c r="BT12" s="23" t="s">
        <v>38</v>
      </c>
      <c r="BU12" s="23" t="s">
        <v>38</v>
      </c>
      <c r="BV12" s="23" t="s">
        <v>38</v>
      </c>
      <c r="BW12" s="23" t="s">
        <v>38</v>
      </c>
      <c r="BX12" s="23" t="s">
        <v>38</v>
      </c>
      <c r="BY12" s="92" t="s">
        <v>38</v>
      </c>
      <c r="BZ12" s="92"/>
      <c r="CA12" s="86" t="s">
        <v>38</v>
      </c>
    </row>
    <row r="13" spans="1:79">
      <c r="A13" s="21">
        <v>2</v>
      </c>
      <c r="B13" s="83">
        <v>254268.40893599999</v>
      </c>
      <c r="C13" s="83">
        <v>4505552.5855400003</v>
      </c>
      <c r="D13" s="19" t="s">
        <v>38</v>
      </c>
      <c r="E13" s="19" t="s">
        <v>38</v>
      </c>
      <c r="F13" s="19" t="s">
        <v>38</v>
      </c>
      <c r="G13" s="19" t="s">
        <v>38</v>
      </c>
      <c r="H13" s="19" t="s">
        <v>38</v>
      </c>
      <c r="I13" s="19" t="s">
        <v>38</v>
      </c>
      <c r="J13" s="19" t="s">
        <v>38</v>
      </c>
      <c r="K13" s="19" t="s">
        <v>38</v>
      </c>
      <c r="L13" s="19" t="s">
        <v>38</v>
      </c>
      <c r="M13" s="19" t="s">
        <v>38</v>
      </c>
      <c r="N13" s="23" t="s">
        <v>38</v>
      </c>
      <c r="O13" s="23" t="s">
        <v>38</v>
      </c>
      <c r="P13" s="23" t="s">
        <v>38</v>
      </c>
      <c r="Q13" s="23" t="s">
        <v>38</v>
      </c>
      <c r="R13" s="23" t="s">
        <v>38</v>
      </c>
      <c r="S13" s="23" t="s">
        <v>38</v>
      </c>
      <c r="T13" s="23" t="s">
        <v>38</v>
      </c>
      <c r="U13" s="23" t="s">
        <v>38</v>
      </c>
      <c r="V13" s="23" t="s">
        <v>38</v>
      </c>
      <c r="W13" s="23" t="s">
        <v>38</v>
      </c>
      <c r="X13" s="23" t="s">
        <v>38</v>
      </c>
      <c r="Y13" s="23" t="s">
        <v>38</v>
      </c>
      <c r="Z13" s="23" t="s">
        <v>38</v>
      </c>
      <c r="AA13" s="23" t="s">
        <v>38</v>
      </c>
      <c r="AB13" s="23" t="s">
        <v>38</v>
      </c>
      <c r="AC13" s="23" t="s">
        <v>38</v>
      </c>
      <c r="AD13" s="23" t="s">
        <v>38</v>
      </c>
      <c r="AE13" s="23" t="s">
        <v>38</v>
      </c>
      <c r="AF13" s="23" t="s">
        <v>38</v>
      </c>
      <c r="AG13" s="23" t="s">
        <v>38</v>
      </c>
      <c r="AH13" s="23" t="s">
        <v>38</v>
      </c>
      <c r="AI13" s="23" t="s">
        <v>38</v>
      </c>
      <c r="AJ13" s="23" t="s">
        <v>38</v>
      </c>
      <c r="AK13" s="23" t="s">
        <v>38</v>
      </c>
      <c r="AL13" s="23" t="s">
        <v>38</v>
      </c>
      <c r="AM13" s="23" t="s">
        <v>38</v>
      </c>
      <c r="AN13" s="23" t="s">
        <v>38</v>
      </c>
      <c r="AO13" s="23" t="s">
        <v>38</v>
      </c>
      <c r="AP13" s="23" t="s">
        <v>38</v>
      </c>
      <c r="AQ13" s="23" t="s">
        <v>38</v>
      </c>
      <c r="AR13" s="23" t="s">
        <v>38</v>
      </c>
      <c r="AS13" s="23" t="s">
        <v>38</v>
      </c>
      <c r="AT13" s="23" t="s">
        <v>38</v>
      </c>
      <c r="AU13" s="23" t="s">
        <v>38</v>
      </c>
      <c r="AV13" s="23" t="s">
        <v>38</v>
      </c>
      <c r="AW13" s="23" t="s">
        <v>38</v>
      </c>
      <c r="AX13" s="23" t="s">
        <v>38</v>
      </c>
      <c r="AY13" s="23" t="s">
        <v>38</v>
      </c>
      <c r="AZ13" s="23" t="s">
        <v>38</v>
      </c>
      <c r="BA13" s="23" t="s">
        <v>38</v>
      </c>
      <c r="BB13" s="23" t="s">
        <v>38</v>
      </c>
      <c r="BC13" s="23" t="s">
        <v>38</v>
      </c>
      <c r="BD13" s="23" t="s">
        <v>38</v>
      </c>
      <c r="BE13" s="23" t="s">
        <v>38</v>
      </c>
      <c r="BF13" s="23" t="s">
        <v>38</v>
      </c>
      <c r="BG13" s="23" t="s">
        <v>38</v>
      </c>
      <c r="BH13" s="23" t="s">
        <v>38</v>
      </c>
      <c r="BI13" s="23" t="s">
        <v>38</v>
      </c>
      <c r="BJ13" s="23" t="s">
        <v>38</v>
      </c>
      <c r="BK13" s="23" t="s">
        <v>38</v>
      </c>
      <c r="BL13" s="23" t="s">
        <v>38</v>
      </c>
      <c r="BM13" s="23" t="s">
        <v>38</v>
      </c>
      <c r="BN13" s="23" t="s">
        <v>38</v>
      </c>
      <c r="BO13" s="23" t="s">
        <v>38</v>
      </c>
      <c r="BP13" s="23" t="s">
        <v>38</v>
      </c>
      <c r="BQ13" s="23" t="s">
        <v>38</v>
      </c>
      <c r="BR13" s="23" t="s">
        <v>38</v>
      </c>
      <c r="BS13" s="23" t="s">
        <v>38</v>
      </c>
      <c r="BT13" s="23" t="s">
        <v>38</v>
      </c>
      <c r="BU13" s="23" t="s">
        <v>38</v>
      </c>
      <c r="BV13" s="23" t="s">
        <v>38</v>
      </c>
      <c r="BW13" s="23" t="s">
        <v>38</v>
      </c>
      <c r="BX13" s="23" t="s">
        <v>38</v>
      </c>
      <c r="BY13" s="92" t="s">
        <v>38</v>
      </c>
      <c r="BZ13" s="92"/>
      <c r="CA13" s="86" t="s">
        <v>38</v>
      </c>
    </row>
    <row r="14" spans="1:79">
      <c r="A14" s="21">
        <v>3</v>
      </c>
      <c r="B14" s="83">
        <v>254274.76034199999</v>
      </c>
      <c r="C14" s="83">
        <v>4505519.1361699998</v>
      </c>
      <c r="D14" s="19" t="s">
        <v>38</v>
      </c>
      <c r="E14" s="19" t="s">
        <v>38</v>
      </c>
      <c r="F14" s="19" t="s">
        <v>38</v>
      </c>
      <c r="G14" s="19" t="s">
        <v>38</v>
      </c>
      <c r="H14" s="19" t="s">
        <v>38</v>
      </c>
      <c r="I14" s="19" t="s">
        <v>38</v>
      </c>
      <c r="J14" s="19" t="s">
        <v>38</v>
      </c>
      <c r="K14" s="19" t="s">
        <v>38</v>
      </c>
      <c r="L14" s="19" t="s">
        <v>38</v>
      </c>
      <c r="M14" s="19" t="s">
        <v>38</v>
      </c>
      <c r="N14" s="23" t="s">
        <v>38</v>
      </c>
      <c r="O14" s="23" t="s">
        <v>38</v>
      </c>
      <c r="P14" s="23" t="s">
        <v>38</v>
      </c>
      <c r="Q14" s="23" t="s">
        <v>38</v>
      </c>
      <c r="R14" s="23" t="s">
        <v>38</v>
      </c>
      <c r="S14" s="23" t="s">
        <v>38</v>
      </c>
      <c r="T14" s="23" t="s">
        <v>38</v>
      </c>
      <c r="U14" s="23" t="s">
        <v>38</v>
      </c>
      <c r="V14" s="23" t="s">
        <v>38</v>
      </c>
      <c r="W14" s="23" t="s">
        <v>38</v>
      </c>
      <c r="X14" s="23" t="s">
        <v>38</v>
      </c>
      <c r="Y14" s="23" t="s">
        <v>38</v>
      </c>
      <c r="Z14" s="23" t="s">
        <v>38</v>
      </c>
      <c r="AA14" s="23" t="s">
        <v>38</v>
      </c>
      <c r="AB14" s="23" t="s">
        <v>38</v>
      </c>
      <c r="AC14" s="23" t="s">
        <v>38</v>
      </c>
      <c r="AD14" s="23" t="s">
        <v>38</v>
      </c>
      <c r="AE14" s="23" t="s">
        <v>38</v>
      </c>
      <c r="AF14" s="23" t="s">
        <v>38</v>
      </c>
      <c r="AG14" s="23" t="s">
        <v>38</v>
      </c>
      <c r="AH14" s="23" t="s">
        <v>38</v>
      </c>
      <c r="AI14" s="23" t="s">
        <v>38</v>
      </c>
      <c r="AJ14" s="23" t="s">
        <v>38</v>
      </c>
      <c r="AK14" s="23" t="s">
        <v>38</v>
      </c>
      <c r="AL14" s="23" t="s">
        <v>38</v>
      </c>
      <c r="AM14" s="23" t="s">
        <v>38</v>
      </c>
      <c r="AN14" s="23" t="s">
        <v>38</v>
      </c>
      <c r="AO14" s="23" t="s">
        <v>38</v>
      </c>
      <c r="AP14" s="23" t="s">
        <v>38</v>
      </c>
      <c r="AQ14" s="23" t="s">
        <v>38</v>
      </c>
      <c r="AR14" s="23" t="s">
        <v>38</v>
      </c>
      <c r="AS14" s="23" t="s">
        <v>38</v>
      </c>
      <c r="AT14" s="23" t="s">
        <v>38</v>
      </c>
      <c r="AU14" s="23" t="s">
        <v>38</v>
      </c>
      <c r="AV14" s="23" t="s">
        <v>38</v>
      </c>
      <c r="AW14" s="23" t="s">
        <v>38</v>
      </c>
      <c r="AX14" s="23" t="s">
        <v>38</v>
      </c>
      <c r="AY14" s="23" t="s">
        <v>38</v>
      </c>
      <c r="AZ14" s="23" t="s">
        <v>38</v>
      </c>
      <c r="BA14" s="23" t="s">
        <v>38</v>
      </c>
      <c r="BB14" s="23" t="s">
        <v>38</v>
      </c>
      <c r="BC14" s="23" t="s">
        <v>38</v>
      </c>
      <c r="BD14" s="23" t="s">
        <v>38</v>
      </c>
      <c r="BE14" s="23" t="s">
        <v>38</v>
      </c>
      <c r="BF14" s="23" t="s">
        <v>38</v>
      </c>
      <c r="BG14" s="23" t="s">
        <v>38</v>
      </c>
      <c r="BH14" s="23" t="s">
        <v>38</v>
      </c>
      <c r="BI14" s="23" t="s">
        <v>38</v>
      </c>
      <c r="BJ14" s="23" t="s">
        <v>38</v>
      </c>
      <c r="BK14" s="23" t="s">
        <v>38</v>
      </c>
      <c r="BL14" s="23" t="s">
        <v>38</v>
      </c>
      <c r="BM14" s="23" t="s">
        <v>38</v>
      </c>
      <c r="BN14" s="23" t="s">
        <v>38</v>
      </c>
      <c r="BO14" s="23" t="s">
        <v>38</v>
      </c>
      <c r="BP14" s="23" t="s">
        <v>38</v>
      </c>
      <c r="BQ14" s="23" t="s">
        <v>38</v>
      </c>
      <c r="BR14" s="23" t="s">
        <v>38</v>
      </c>
      <c r="BS14" s="23" t="s">
        <v>38</v>
      </c>
      <c r="BT14" s="23" t="s">
        <v>38</v>
      </c>
      <c r="BU14" s="23" t="s">
        <v>38</v>
      </c>
      <c r="BV14" s="23" t="s">
        <v>38</v>
      </c>
      <c r="BW14" s="23" t="s">
        <v>38</v>
      </c>
      <c r="BX14" s="23" t="s">
        <v>38</v>
      </c>
      <c r="BY14" s="92" t="s">
        <v>38</v>
      </c>
      <c r="BZ14" s="92"/>
      <c r="CA14" s="86" t="s">
        <v>38</v>
      </c>
    </row>
    <row r="15" spans="1:79">
      <c r="A15" s="21">
        <v>4</v>
      </c>
      <c r="B15" s="83">
        <v>254256.98182799999</v>
      </c>
      <c r="C15" s="83">
        <v>4505565.69778</v>
      </c>
      <c r="D15" s="19" t="s">
        <v>38</v>
      </c>
      <c r="E15" s="19" t="s">
        <v>38</v>
      </c>
      <c r="F15" s="19" t="s">
        <v>38</v>
      </c>
      <c r="G15" s="19" t="s">
        <v>38</v>
      </c>
      <c r="H15" s="19" t="s">
        <v>38</v>
      </c>
      <c r="I15" s="19" t="s">
        <v>38</v>
      </c>
      <c r="J15" s="19" t="s">
        <v>38</v>
      </c>
      <c r="K15" s="19" t="s">
        <v>38</v>
      </c>
      <c r="L15" s="19" t="s">
        <v>38</v>
      </c>
      <c r="M15" s="19" t="s">
        <v>38</v>
      </c>
      <c r="N15" s="23" t="s">
        <v>38</v>
      </c>
      <c r="O15" s="23" t="s">
        <v>38</v>
      </c>
      <c r="P15" s="23" t="s">
        <v>38</v>
      </c>
      <c r="Q15" s="23" t="s">
        <v>38</v>
      </c>
      <c r="R15" s="23" t="s">
        <v>38</v>
      </c>
      <c r="S15" s="23" t="s">
        <v>38</v>
      </c>
      <c r="T15" s="23" t="s">
        <v>38</v>
      </c>
      <c r="U15" s="23" t="s">
        <v>38</v>
      </c>
      <c r="V15" s="23" t="s">
        <v>38</v>
      </c>
      <c r="W15" s="23" t="s">
        <v>38</v>
      </c>
      <c r="X15" s="23" t="s">
        <v>38</v>
      </c>
      <c r="Y15" s="23" t="s">
        <v>38</v>
      </c>
      <c r="Z15" s="23" t="s">
        <v>38</v>
      </c>
      <c r="AA15" s="23" t="s">
        <v>38</v>
      </c>
      <c r="AB15" s="23" t="s">
        <v>38</v>
      </c>
      <c r="AC15" s="23" t="s">
        <v>38</v>
      </c>
      <c r="AD15" s="23" t="s">
        <v>38</v>
      </c>
      <c r="AE15" s="23" t="s">
        <v>38</v>
      </c>
      <c r="AF15" s="23" t="s">
        <v>38</v>
      </c>
      <c r="AG15" s="23" t="s">
        <v>38</v>
      </c>
      <c r="AH15" s="23" t="s">
        <v>38</v>
      </c>
      <c r="AI15" s="23" t="s">
        <v>38</v>
      </c>
      <c r="AJ15" s="23" t="s">
        <v>38</v>
      </c>
      <c r="AK15" s="23" t="s">
        <v>38</v>
      </c>
      <c r="AL15" s="23" t="s">
        <v>38</v>
      </c>
      <c r="AM15" s="23" t="s">
        <v>38</v>
      </c>
      <c r="AN15" s="23" t="s">
        <v>38</v>
      </c>
      <c r="AO15" s="23" t="s">
        <v>38</v>
      </c>
      <c r="AP15" s="23" t="s">
        <v>38</v>
      </c>
      <c r="AQ15" s="23" t="s">
        <v>38</v>
      </c>
      <c r="AR15" s="23" t="s">
        <v>38</v>
      </c>
      <c r="AS15" s="23" t="s">
        <v>38</v>
      </c>
      <c r="AT15" s="23" t="s">
        <v>38</v>
      </c>
      <c r="AU15" s="23" t="s">
        <v>38</v>
      </c>
      <c r="AV15" s="23" t="s">
        <v>38</v>
      </c>
      <c r="AW15" s="23" t="s">
        <v>38</v>
      </c>
      <c r="AX15" s="23" t="s">
        <v>38</v>
      </c>
      <c r="AY15" s="23" t="s">
        <v>38</v>
      </c>
      <c r="AZ15" s="23" t="s">
        <v>38</v>
      </c>
      <c r="BA15" s="23" t="s">
        <v>38</v>
      </c>
      <c r="BB15" s="23" t="s">
        <v>38</v>
      </c>
      <c r="BC15" s="23" t="s">
        <v>38</v>
      </c>
      <c r="BD15" s="23" t="s">
        <v>38</v>
      </c>
      <c r="BE15" s="23" t="s">
        <v>38</v>
      </c>
      <c r="BF15" s="23" t="s">
        <v>38</v>
      </c>
      <c r="BG15" s="23" t="s">
        <v>38</v>
      </c>
      <c r="BH15" s="23" t="s">
        <v>38</v>
      </c>
      <c r="BI15" s="23" t="s">
        <v>38</v>
      </c>
      <c r="BJ15" s="23" t="s">
        <v>38</v>
      </c>
      <c r="BK15" s="23" t="s">
        <v>38</v>
      </c>
      <c r="BL15" s="23" t="s">
        <v>38</v>
      </c>
      <c r="BM15" s="23" t="s">
        <v>38</v>
      </c>
      <c r="BN15" s="23" t="s">
        <v>38</v>
      </c>
      <c r="BO15" s="23" t="s">
        <v>38</v>
      </c>
      <c r="BP15" s="23" t="s">
        <v>38</v>
      </c>
      <c r="BQ15" s="23" t="s">
        <v>38</v>
      </c>
      <c r="BR15" s="23" t="s">
        <v>38</v>
      </c>
      <c r="BS15" s="23" t="s">
        <v>38</v>
      </c>
      <c r="BT15" s="23" t="s">
        <v>38</v>
      </c>
      <c r="BU15" s="23" t="s">
        <v>38</v>
      </c>
      <c r="BV15" s="23" t="s">
        <v>38</v>
      </c>
      <c r="BW15" s="23" t="s">
        <v>38</v>
      </c>
      <c r="BX15" s="23" t="s">
        <v>38</v>
      </c>
      <c r="BY15" s="92" t="s">
        <v>38</v>
      </c>
      <c r="BZ15" s="92"/>
      <c r="CA15" s="86" t="s">
        <v>38</v>
      </c>
    </row>
    <row r="16" spans="1:79">
      <c r="A16" s="21">
        <v>5</v>
      </c>
      <c r="B16" s="83">
        <v>254279.200835</v>
      </c>
      <c r="C16" s="83">
        <v>4505539.2380799996</v>
      </c>
      <c r="D16" s="19" t="s">
        <v>38</v>
      </c>
      <c r="E16" s="19" t="s">
        <v>38</v>
      </c>
      <c r="F16" s="19" t="s">
        <v>38</v>
      </c>
      <c r="G16" s="19" t="s">
        <v>38</v>
      </c>
      <c r="H16" s="19" t="s">
        <v>38</v>
      </c>
      <c r="I16" s="19" t="s">
        <v>38</v>
      </c>
      <c r="J16" s="19" t="s">
        <v>38</v>
      </c>
      <c r="K16" s="19" t="s">
        <v>38</v>
      </c>
      <c r="L16" s="19" t="s">
        <v>38</v>
      </c>
      <c r="M16" s="19" t="s">
        <v>38</v>
      </c>
      <c r="N16" s="23" t="s">
        <v>38</v>
      </c>
      <c r="O16" s="23" t="s">
        <v>38</v>
      </c>
      <c r="P16" s="23" t="s">
        <v>38</v>
      </c>
      <c r="Q16" s="23" t="s">
        <v>38</v>
      </c>
      <c r="R16" s="23" t="s">
        <v>38</v>
      </c>
      <c r="S16" s="23" t="s">
        <v>38</v>
      </c>
      <c r="T16" s="23" t="s">
        <v>38</v>
      </c>
      <c r="U16" s="23" t="s">
        <v>38</v>
      </c>
      <c r="V16" s="23" t="s">
        <v>38</v>
      </c>
      <c r="W16" s="23" t="s">
        <v>38</v>
      </c>
      <c r="X16" s="23" t="s">
        <v>38</v>
      </c>
      <c r="Y16" s="23" t="s">
        <v>38</v>
      </c>
      <c r="Z16" s="23" t="s">
        <v>38</v>
      </c>
      <c r="AA16" s="23" t="s">
        <v>38</v>
      </c>
      <c r="AB16" s="23" t="s">
        <v>38</v>
      </c>
      <c r="AC16" s="23" t="s">
        <v>38</v>
      </c>
      <c r="AD16" s="23" t="s">
        <v>38</v>
      </c>
      <c r="AE16" s="23" t="s">
        <v>38</v>
      </c>
      <c r="AF16" s="23" t="s">
        <v>38</v>
      </c>
      <c r="AG16" s="23" t="s">
        <v>38</v>
      </c>
      <c r="AH16" s="23" t="s">
        <v>38</v>
      </c>
      <c r="AI16" s="23" t="s">
        <v>38</v>
      </c>
      <c r="AJ16" s="23" t="s">
        <v>38</v>
      </c>
      <c r="AK16" s="23" t="s">
        <v>38</v>
      </c>
      <c r="AL16" s="23" t="s">
        <v>38</v>
      </c>
      <c r="AM16" s="23" t="s">
        <v>38</v>
      </c>
      <c r="AN16" s="23" t="s">
        <v>38</v>
      </c>
      <c r="AO16" s="23" t="s">
        <v>38</v>
      </c>
      <c r="AP16" s="23" t="s">
        <v>38</v>
      </c>
      <c r="AQ16" s="23" t="s">
        <v>38</v>
      </c>
      <c r="AR16" s="23" t="s">
        <v>38</v>
      </c>
      <c r="AS16" s="23" t="s">
        <v>38</v>
      </c>
      <c r="AT16" s="23" t="s">
        <v>38</v>
      </c>
      <c r="AU16" s="23" t="s">
        <v>38</v>
      </c>
      <c r="AV16" s="23" t="s">
        <v>38</v>
      </c>
      <c r="AW16" s="23" t="s">
        <v>38</v>
      </c>
      <c r="AX16" s="23" t="s">
        <v>38</v>
      </c>
      <c r="AY16" s="23" t="s">
        <v>38</v>
      </c>
      <c r="AZ16" s="23" t="s">
        <v>38</v>
      </c>
      <c r="BA16" s="23" t="s">
        <v>38</v>
      </c>
      <c r="BB16" s="23" t="s">
        <v>38</v>
      </c>
      <c r="BC16" s="23" t="s">
        <v>38</v>
      </c>
      <c r="BD16" s="23" t="s">
        <v>38</v>
      </c>
      <c r="BE16" s="23" t="s">
        <v>38</v>
      </c>
      <c r="BF16" s="23" t="s">
        <v>38</v>
      </c>
      <c r="BG16" s="23" t="s">
        <v>38</v>
      </c>
      <c r="BH16" s="23" t="s">
        <v>38</v>
      </c>
      <c r="BI16" s="23" t="s">
        <v>38</v>
      </c>
      <c r="BJ16" s="23" t="s">
        <v>38</v>
      </c>
      <c r="BK16" s="23" t="s">
        <v>38</v>
      </c>
      <c r="BL16" s="23" t="s">
        <v>38</v>
      </c>
      <c r="BM16" s="23" t="s">
        <v>38</v>
      </c>
      <c r="BN16" s="23" t="s">
        <v>38</v>
      </c>
      <c r="BO16" s="23" t="s">
        <v>38</v>
      </c>
      <c r="BP16" s="23" t="s">
        <v>38</v>
      </c>
      <c r="BQ16" s="23" t="s">
        <v>38</v>
      </c>
      <c r="BR16" s="23" t="s">
        <v>38</v>
      </c>
      <c r="BS16" s="23" t="s">
        <v>38</v>
      </c>
      <c r="BT16" s="23" t="s">
        <v>38</v>
      </c>
      <c r="BU16" s="23" t="s">
        <v>38</v>
      </c>
      <c r="BV16" s="23" t="s">
        <v>38</v>
      </c>
      <c r="BW16" s="23" t="s">
        <v>38</v>
      </c>
      <c r="BX16" s="23" t="s">
        <v>38</v>
      </c>
      <c r="BY16" s="92" t="s">
        <v>38</v>
      </c>
      <c r="BZ16" s="92"/>
      <c r="CA16" s="86" t="s">
        <v>38</v>
      </c>
    </row>
    <row r="17" spans="1:79">
      <c r="A17" s="21">
        <v>6</v>
      </c>
      <c r="B17" s="82">
        <v>254321.19506200001</v>
      </c>
      <c r="C17" s="82">
        <v>4505578.1072300002</v>
      </c>
      <c r="D17" s="19" t="s">
        <v>38</v>
      </c>
      <c r="E17" s="20">
        <v>0.41949999999999998</v>
      </c>
      <c r="F17" s="19">
        <v>0.45150000000000001</v>
      </c>
      <c r="G17" s="19">
        <v>0.47299999999999998</v>
      </c>
      <c r="H17" s="19" t="s">
        <v>38</v>
      </c>
      <c r="I17" s="19">
        <v>0.34450000000000003</v>
      </c>
      <c r="J17" s="19">
        <v>0.29849999999999999</v>
      </c>
      <c r="K17" s="19">
        <v>0.26250000000000001</v>
      </c>
      <c r="L17" s="19">
        <v>0.32950000000000002</v>
      </c>
      <c r="M17" s="19">
        <v>0.24399999999999999</v>
      </c>
      <c r="N17" s="16">
        <v>0.29599999999999999</v>
      </c>
      <c r="O17" s="16">
        <v>0.2465</v>
      </c>
      <c r="P17" s="16">
        <v>0.26250000000000001</v>
      </c>
      <c r="Q17" s="16">
        <v>0.33500000000000002</v>
      </c>
      <c r="R17" s="16">
        <v>0.4405</v>
      </c>
      <c r="S17" s="16">
        <v>0.40800000000000003</v>
      </c>
      <c r="T17" s="24">
        <v>0.36699999999999999</v>
      </c>
      <c r="U17" s="24">
        <v>0.58299999999999996</v>
      </c>
      <c r="V17" s="24">
        <v>0.63500000000000001</v>
      </c>
      <c r="W17" s="24">
        <v>0.66900000000000004</v>
      </c>
      <c r="X17" s="24">
        <v>0.65200000000000002</v>
      </c>
      <c r="Y17" s="24">
        <v>0.53600000000000003</v>
      </c>
      <c r="Z17" s="23">
        <v>0.64400000000000002</v>
      </c>
      <c r="AA17" s="24">
        <v>0.59799999999999998</v>
      </c>
      <c r="AB17" s="24">
        <v>0.63300000000000001</v>
      </c>
      <c r="AC17" s="24" t="s">
        <v>38</v>
      </c>
      <c r="AD17" s="24">
        <v>0.65100000000000002</v>
      </c>
      <c r="AE17" s="24">
        <v>0.46300000000000002</v>
      </c>
      <c r="AF17" s="24">
        <v>0.36299999999999999</v>
      </c>
      <c r="AG17" s="24">
        <v>0.379</v>
      </c>
      <c r="AH17" s="24">
        <v>0.222</v>
      </c>
      <c r="AI17" s="24">
        <v>0.22800000000000001</v>
      </c>
      <c r="AJ17" s="24">
        <v>0.33</v>
      </c>
      <c r="AK17" s="24">
        <v>0.27700000000000002</v>
      </c>
      <c r="AL17" s="24">
        <v>0.61799999999999999</v>
      </c>
      <c r="AM17" s="24">
        <v>0.42799999999999999</v>
      </c>
      <c r="AN17" s="40">
        <v>0.45800000000000002</v>
      </c>
      <c r="AO17" s="40">
        <v>0.33</v>
      </c>
      <c r="AP17" s="40">
        <v>0.42299999999999999</v>
      </c>
      <c r="AQ17" s="40">
        <v>0.38100000000000001</v>
      </c>
      <c r="AR17" s="40">
        <v>0.33900000000000002</v>
      </c>
      <c r="AS17" s="40">
        <v>0.35599999999999998</v>
      </c>
      <c r="AT17" s="40">
        <v>0.35</v>
      </c>
      <c r="AU17" s="40">
        <v>0.315</v>
      </c>
      <c r="AV17" s="40">
        <v>0.29599999999999999</v>
      </c>
      <c r="AW17" s="40">
        <v>0.26800000000000002</v>
      </c>
      <c r="AX17" s="40">
        <v>0.25600000000000001</v>
      </c>
      <c r="AY17" s="40">
        <v>0.41399999999999998</v>
      </c>
      <c r="AZ17" s="40">
        <v>0.34699999999999998</v>
      </c>
      <c r="BA17" s="40">
        <v>0.39300000000000002</v>
      </c>
      <c r="BB17" s="23" t="s">
        <v>38</v>
      </c>
      <c r="BC17" s="40">
        <v>0.42699999999999999</v>
      </c>
      <c r="BD17" s="23" t="s">
        <v>38</v>
      </c>
      <c r="BE17" s="23" t="s">
        <v>38</v>
      </c>
      <c r="BF17" s="23" t="s">
        <v>38</v>
      </c>
      <c r="BG17" s="40">
        <v>0.52049999999999996</v>
      </c>
      <c r="BH17" s="38">
        <v>0.4345</v>
      </c>
      <c r="BI17" s="38">
        <v>0.45050000000000001</v>
      </c>
      <c r="BJ17" s="38">
        <v>0.4</v>
      </c>
      <c r="BK17" s="38">
        <v>0.40949999999999998</v>
      </c>
      <c r="BL17" s="38">
        <v>0.42649999999999999</v>
      </c>
      <c r="BM17" s="38">
        <v>0.45700000000000002</v>
      </c>
      <c r="BN17" s="23" t="s">
        <v>38</v>
      </c>
      <c r="BO17" s="40">
        <v>0.42199999999999999</v>
      </c>
      <c r="BP17" s="38">
        <v>0.432</v>
      </c>
      <c r="BQ17" s="38">
        <v>0.31900000000000001</v>
      </c>
      <c r="BR17" s="41">
        <v>0.40549999999999997</v>
      </c>
      <c r="BS17" s="23" t="s">
        <v>38</v>
      </c>
      <c r="BT17" s="41">
        <v>0.315</v>
      </c>
      <c r="BU17" s="23" t="s">
        <v>38</v>
      </c>
      <c r="BV17" s="41">
        <v>0.30649999999999999</v>
      </c>
      <c r="BW17" s="42">
        <v>0.27250000000000002</v>
      </c>
      <c r="BX17" s="42">
        <v>0.4395</v>
      </c>
      <c r="BY17" s="85">
        <f>(0.413+0.402)/2</f>
        <v>0.40749999999999997</v>
      </c>
      <c r="BZ17" s="85">
        <f>(0.525+0.502)/2</f>
        <v>0.51350000000000007</v>
      </c>
      <c r="CA17" s="86">
        <v>0.40150000000000002</v>
      </c>
    </row>
    <row r="18" spans="1:79">
      <c r="A18" s="21">
        <v>7</v>
      </c>
      <c r="B18" s="82">
        <v>254315.12577700001</v>
      </c>
      <c r="C18" s="82">
        <v>4505538.1711100005</v>
      </c>
      <c r="D18" s="19" t="s">
        <v>38</v>
      </c>
      <c r="E18" s="20">
        <v>0.115</v>
      </c>
      <c r="F18" s="20">
        <v>0.15</v>
      </c>
      <c r="G18" s="20">
        <v>0.159</v>
      </c>
      <c r="H18" s="20">
        <v>0.17599999999999999</v>
      </c>
      <c r="I18" s="20">
        <v>0.13750000000000001</v>
      </c>
      <c r="J18" s="20">
        <v>0.52949999999999997</v>
      </c>
      <c r="K18" s="20">
        <v>8.3000000000000004E-2</v>
      </c>
      <c r="L18" s="20">
        <v>9.0999999999999998E-2</v>
      </c>
      <c r="M18" s="20">
        <v>4.4999999999999998E-2</v>
      </c>
      <c r="N18" s="16">
        <v>0.10100000000000001</v>
      </c>
      <c r="O18" s="16">
        <v>7.5499999999999998E-2</v>
      </c>
      <c r="P18" s="16">
        <v>8.0500000000000002E-2</v>
      </c>
      <c r="Q18" s="16">
        <v>0.13400000000000001</v>
      </c>
      <c r="R18" s="16">
        <v>0.13650000000000001</v>
      </c>
      <c r="S18" s="16">
        <v>0.17</v>
      </c>
      <c r="T18" s="24">
        <v>0.20799999999999999</v>
      </c>
      <c r="U18" s="24">
        <v>0.17399999999999999</v>
      </c>
      <c r="V18" s="24">
        <v>0.17899999999999999</v>
      </c>
      <c r="W18" s="24">
        <v>0.155</v>
      </c>
      <c r="X18" s="24">
        <v>0.16900000000000001</v>
      </c>
      <c r="Y18" s="24">
        <v>0.14099999999999999</v>
      </c>
      <c r="Z18" s="23">
        <v>0.156</v>
      </c>
      <c r="AA18" s="24">
        <v>0.16900000000000001</v>
      </c>
      <c r="AB18" s="24">
        <v>0.185</v>
      </c>
      <c r="AC18" s="24">
        <v>0.182</v>
      </c>
      <c r="AD18" s="24">
        <v>0.16900000000000001</v>
      </c>
      <c r="AE18" s="24">
        <v>0.182</v>
      </c>
      <c r="AF18" s="24">
        <v>0.14399999999999999</v>
      </c>
      <c r="AG18" s="24">
        <v>0.13300000000000001</v>
      </c>
      <c r="AH18" s="24">
        <v>0.108</v>
      </c>
      <c r="AI18" s="24">
        <v>0.104</v>
      </c>
      <c r="AJ18" s="24">
        <v>0.09</v>
      </c>
      <c r="AK18" s="24">
        <v>9.9000000000000005E-2</v>
      </c>
      <c r="AL18" s="24">
        <v>0.187</v>
      </c>
      <c r="AM18" s="24">
        <v>0.23100000000000001</v>
      </c>
      <c r="AN18" s="40">
        <v>0.17100000000000001</v>
      </c>
      <c r="AO18" s="40">
        <v>0.122</v>
      </c>
      <c r="AP18" s="40">
        <v>9.0999999999999998E-2</v>
      </c>
      <c r="AQ18" s="40">
        <v>0.13300000000000001</v>
      </c>
      <c r="AR18" s="40">
        <v>0.127</v>
      </c>
      <c r="AS18" s="40">
        <v>0.13100000000000001</v>
      </c>
      <c r="AT18" s="40">
        <v>0.13100000000000001</v>
      </c>
      <c r="AU18" s="40">
        <v>0.114</v>
      </c>
      <c r="AV18" s="40">
        <v>0.10199999999999999</v>
      </c>
      <c r="AW18" s="40">
        <v>8.6999999999999994E-2</v>
      </c>
      <c r="AX18" s="40">
        <v>8.5999999999999993E-2</v>
      </c>
      <c r="AY18" s="40">
        <v>0.10299999999999999</v>
      </c>
      <c r="AZ18" s="40">
        <v>0.11700000000000001</v>
      </c>
      <c r="BA18" s="40">
        <v>0.126</v>
      </c>
      <c r="BB18" s="23" t="s">
        <v>38</v>
      </c>
      <c r="BC18" s="40">
        <v>9.7500000000000003E-2</v>
      </c>
      <c r="BD18" s="23" t="s">
        <v>38</v>
      </c>
      <c r="BE18" s="23" t="s">
        <v>38</v>
      </c>
      <c r="BF18" s="23" t="s">
        <v>38</v>
      </c>
      <c r="BG18" s="40">
        <v>0.1825</v>
      </c>
      <c r="BH18" s="38">
        <v>0.13250000000000001</v>
      </c>
      <c r="BI18" s="38">
        <v>0.152</v>
      </c>
      <c r="BJ18" s="38">
        <v>0.1525</v>
      </c>
      <c r="BK18" s="38">
        <v>0.14749999999999999</v>
      </c>
      <c r="BL18" s="38">
        <v>0.13600000000000001</v>
      </c>
      <c r="BM18" s="38">
        <v>0.13900000000000001</v>
      </c>
      <c r="BN18" s="23" t="s">
        <v>38</v>
      </c>
      <c r="BO18" s="23" t="s">
        <v>38</v>
      </c>
      <c r="BP18" s="23" t="s">
        <v>38</v>
      </c>
      <c r="BQ18" s="38">
        <v>0.123</v>
      </c>
      <c r="BR18" s="41">
        <v>0.13700000000000001</v>
      </c>
      <c r="BS18" s="23" t="s">
        <v>38</v>
      </c>
      <c r="BT18" s="41">
        <v>9.6500000000000002E-2</v>
      </c>
      <c r="BU18" s="23" t="s">
        <v>38</v>
      </c>
      <c r="BV18" s="41">
        <v>0.122</v>
      </c>
      <c r="BW18" s="42">
        <v>0.14350000000000002</v>
      </c>
      <c r="BX18" s="42">
        <v>9.4500000000000001E-2</v>
      </c>
      <c r="BY18" s="85">
        <f>(0.233+0.229)/2</f>
        <v>0.23100000000000001</v>
      </c>
      <c r="BZ18" s="85">
        <f>(0.281+0.277)/2</f>
        <v>0.27900000000000003</v>
      </c>
      <c r="CA18" s="87">
        <v>0.21</v>
      </c>
    </row>
    <row r="19" spans="1:79">
      <c r="A19" s="21">
        <v>8</v>
      </c>
      <c r="B19" s="82">
        <v>254315.63247400001</v>
      </c>
      <c r="C19" s="82">
        <v>4505540.80064</v>
      </c>
      <c r="D19" s="19" t="s">
        <v>38</v>
      </c>
      <c r="E19" s="20">
        <v>0.22500000000000001</v>
      </c>
      <c r="F19" s="20">
        <v>0.218</v>
      </c>
      <c r="G19" s="20">
        <v>0.23499999999999999</v>
      </c>
      <c r="H19" s="20">
        <v>0.219</v>
      </c>
      <c r="I19" s="20">
        <v>0.17599999999999999</v>
      </c>
      <c r="J19" s="20">
        <v>0.14899999999999999</v>
      </c>
      <c r="K19" s="20">
        <v>0.122</v>
      </c>
      <c r="L19" s="20">
        <v>0.16200000000000001</v>
      </c>
      <c r="M19" s="20">
        <v>0.10600000000000001</v>
      </c>
      <c r="N19" s="16">
        <v>0.13900000000000001</v>
      </c>
      <c r="O19" s="16">
        <v>0.11</v>
      </c>
      <c r="P19" s="16">
        <v>0.11599999999999999</v>
      </c>
      <c r="Q19" s="16">
        <v>0.20400000000000001</v>
      </c>
      <c r="R19" s="23" t="s">
        <v>38</v>
      </c>
      <c r="S19" s="16">
        <v>0.17149999999999999</v>
      </c>
      <c r="T19" s="24">
        <v>0.23</v>
      </c>
      <c r="U19" s="24">
        <v>0.247</v>
      </c>
      <c r="V19" s="24">
        <v>0.24099999999999999</v>
      </c>
      <c r="W19" s="24">
        <v>0.23699999999999999</v>
      </c>
      <c r="X19" s="24">
        <v>0.216</v>
      </c>
      <c r="Y19" s="24">
        <v>0.156</v>
      </c>
      <c r="Z19" s="23">
        <v>0.19600000000000001</v>
      </c>
      <c r="AA19" s="24">
        <v>0.20799999999999999</v>
      </c>
      <c r="AB19" s="24">
        <v>0.27100000000000002</v>
      </c>
      <c r="AC19" s="24">
        <v>0.27</v>
      </c>
      <c r="AD19" s="24">
        <v>0.247</v>
      </c>
      <c r="AE19" s="24">
        <v>0.22800000000000001</v>
      </c>
      <c r="AF19" s="24">
        <v>0.192</v>
      </c>
      <c r="AG19" s="24">
        <v>0.17100000000000001</v>
      </c>
      <c r="AH19" s="24">
        <v>0.11700000000000001</v>
      </c>
      <c r="AI19" s="24">
        <v>0.10199999999999999</v>
      </c>
      <c r="AJ19" s="24">
        <v>0.15</v>
      </c>
      <c r="AK19" s="24">
        <v>0.17899999999999999</v>
      </c>
      <c r="AL19" s="24">
        <v>0.26800000000000002</v>
      </c>
      <c r="AM19" s="24">
        <v>0.26500000000000001</v>
      </c>
      <c r="AN19" s="40">
        <v>0.24299999999999999</v>
      </c>
      <c r="AO19" s="40">
        <v>0.18</v>
      </c>
      <c r="AP19" s="40">
        <v>0.16300000000000001</v>
      </c>
      <c r="AQ19" s="40">
        <v>0.19500000000000001</v>
      </c>
      <c r="AR19" s="40">
        <v>0.188</v>
      </c>
      <c r="AS19" s="40">
        <v>0.191</v>
      </c>
      <c r="AT19" s="40">
        <v>0.17699999999999999</v>
      </c>
      <c r="AU19" s="40">
        <v>0.17299999999999999</v>
      </c>
      <c r="AV19" s="40">
        <v>0.13600000000000001</v>
      </c>
      <c r="AW19" s="40">
        <v>0.13600000000000001</v>
      </c>
      <c r="AX19" s="40">
        <v>0.126</v>
      </c>
      <c r="AY19" s="40">
        <v>0.19800000000000001</v>
      </c>
      <c r="AZ19" s="40">
        <v>0.188</v>
      </c>
      <c r="BA19" s="40">
        <v>0.17499999999999999</v>
      </c>
      <c r="BB19" s="23" t="s">
        <v>38</v>
      </c>
      <c r="BC19" s="40">
        <v>0.158</v>
      </c>
      <c r="BD19" s="23" t="s">
        <v>38</v>
      </c>
      <c r="BE19" s="23" t="s">
        <v>38</v>
      </c>
      <c r="BF19" s="23" t="s">
        <v>38</v>
      </c>
      <c r="BG19" s="40">
        <v>0.23299999999999998</v>
      </c>
      <c r="BH19" s="38">
        <v>0.19600000000000001</v>
      </c>
      <c r="BI19" s="38">
        <v>0.22450000000000001</v>
      </c>
      <c r="BJ19" s="38">
        <v>0.222</v>
      </c>
      <c r="BK19" s="38">
        <v>0.22700000000000001</v>
      </c>
      <c r="BL19" s="38">
        <v>0.22750000000000001</v>
      </c>
      <c r="BM19" s="38">
        <v>0.16450000000000001</v>
      </c>
      <c r="BN19" s="23" t="s">
        <v>38</v>
      </c>
      <c r="BO19" s="40">
        <v>0.20250000000000001</v>
      </c>
      <c r="BP19" s="38">
        <v>0.20700000000000002</v>
      </c>
      <c r="BQ19" s="38">
        <v>0.16899999999999998</v>
      </c>
      <c r="BR19" s="41">
        <v>0.1885</v>
      </c>
      <c r="BS19" s="23" t="s">
        <v>38</v>
      </c>
      <c r="BT19" s="41">
        <v>0.16400000000000001</v>
      </c>
      <c r="BU19" s="23" t="s">
        <v>38</v>
      </c>
      <c r="BV19" s="41">
        <v>0.156</v>
      </c>
      <c r="BW19" s="42">
        <v>0.2</v>
      </c>
      <c r="BX19" s="42">
        <v>0.17749999999999999</v>
      </c>
      <c r="BY19" s="85">
        <f>(0.234+0.24)/2</f>
        <v>0.23699999999999999</v>
      </c>
      <c r="BZ19" s="85">
        <f>(0.32+0.297)/2</f>
        <v>0.3085</v>
      </c>
      <c r="CA19" s="87">
        <v>0.23599999999999999</v>
      </c>
    </row>
    <row r="20" spans="1:79">
      <c r="A20" s="21">
        <v>9</v>
      </c>
      <c r="B20" s="82">
        <v>254318.80336600001</v>
      </c>
      <c r="C20" s="82">
        <v>4505533.64805</v>
      </c>
      <c r="D20" s="19" t="s">
        <v>38</v>
      </c>
      <c r="E20" s="20">
        <v>0.217</v>
      </c>
      <c r="F20" s="20">
        <v>0.23050000000000001</v>
      </c>
      <c r="G20" s="20">
        <v>0.22600000000000001</v>
      </c>
      <c r="H20" s="20">
        <v>0.215</v>
      </c>
      <c r="I20" s="20">
        <v>0.19900000000000001</v>
      </c>
      <c r="J20" s="20">
        <v>0.16</v>
      </c>
      <c r="K20" s="20">
        <v>0.1195</v>
      </c>
      <c r="L20" s="20">
        <v>0.16250000000000001</v>
      </c>
      <c r="M20" s="20">
        <v>0.10150000000000001</v>
      </c>
      <c r="N20" s="16">
        <v>0.1565</v>
      </c>
      <c r="O20" s="16">
        <v>0.107</v>
      </c>
      <c r="P20" s="16">
        <v>0.11599999999999999</v>
      </c>
      <c r="Q20" s="16">
        <v>0.17349999999999999</v>
      </c>
      <c r="R20" s="23" t="s">
        <v>38</v>
      </c>
      <c r="S20" s="16">
        <v>0.216</v>
      </c>
      <c r="T20" s="24">
        <v>0.19900000000000001</v>
      </c>
      <c r="U20" s="24">
        <v>0.218</v>
      </c>
      <c r="V20" s="24">
        <v>0.24099999999999999</v>
      </c>
      <c r="W20" s="24">
        <v>0.217</v>
      </c>
      <c r="X20" s="24">
        <v>0.20599999999999999</v>
      </c>
      <c r="Y20" s="24">
        <v>0.17299999999999999</v>
      </c>
      <c r="Z20" s="23">
        <v>0.182</v>
      </c>
      <c r="AA20" s="24">
        <v>0.19500000000000001</v>
      </c>
      <c r="AB20" s="24">
        <v>0.23400000000000001</v>
      </c>
      <c r="AC20" s="24">
        <v>0.23100000000000001</v>
      </c>
      <c r="AD20" s="24">
        <v>0.22</v>
      </c>
      <c r="AE20" s="24">
        <v>0.22700000000000001</v>
      </c>
      <c r="AF20" s="24">
        <v>0.17399999999999999</v>
      </c>
      <c r="AG20" s="24">
        <v>0.19700000000000001</v>
      </c>
      <c r="AH20" s="24">
        <v>0.13600000000000001</v>
      </c>
      <c r="AI20" s="24">
        <v>0.17399999999999999</v>
      </c>
      <c r="AJ20" s="24">
        <v>0.14299999999999999</v>
      </c>
      <c r="AK20" s="24">
        <v>0.14199999999999999</v>
      </c>
      <c r="AL20" s="24">
        <v>0.247</v>
      </c>
      <c r="AM20" s="24">
        <v>0.27400000000000002</v>
      </c>
      <c r="AN20" s="40">
        <v>0.20300000000000001</v>
      </c>
      <c r="AO20" s="40">
        <v>0.155</v>
      </c>
      <c r="AP20" s="40">
        <v>0.16700000000000001</v>
      </c>
      <c r="AQ20" s="40">
        <v>0.20150000000000001</v>
      </c>
      <c r="AR20" s="40">
        <v>0.18</v>
      </c>
      <c r="AS20" s="40">
        <v>0.17799999999999999</v>
      </c>
      <c r="AT20" s="40">
        <v>0.17399999999999999</v>
      </c>
      <c r="AU20" s="40">
        <v>0.14799999999999999</v>
      </c>
      <c r="AV20" s="40">
        <v>0.13900000000000001</v>
      </c>
      <c r="AW20" s="40">
        <v>0.13</v>
      </c>
      <c r="AX20" s="40">
        <v>0.123</v>
      </c>
      <c r="AY20" s="40">
        <v>0.19800000000000001</v>
      </c>
      <c r="AZ20" s="40">
        <v>0.17699999999999999</v>
      </c>
      <c r="BA20" s="40">
        <v>0.193</v>
      </c>
      <c r="BB20" s="23" t="s">
        <v>38</v>
      </c>
      <c r="BC20" s="40">
        <v>0.17</v>
      </c>
      <c r="BD20" s="23" t="s">
        <v>38</v>
      </c>
      <c r="BE20" s="23" t="s">
        <v>38</v>
      </c>
      <c r="BF20" s="23" t="s">
        <v>38</v>
      </c>
      <c r="BG20" s="40">
        <v>0.218</v>
      </c>
      <c r="BH20" s="38">
        <v>0.17949999999999999</v>
      </c>
      <c r="BI20" s="38">
        <v>0.1915</v>
      </c>
      <c r="BJ20" s="38">
        <v>0.191</v>
      </c>
      <c r="BK20" s="38">
        <v>0.1855</v>
      </c>
      <c r="BL20" s="38">
        <v>0.192</v>
      </c>
      <c r="BM20" s="38">
        <v>0.188</v>
      </c>
      <c r="BN20" s="23" t="s">
        <v>38</v>
      </c>
      <c r="BO20" s="40">
        <v>0.20200000000000001</v>
      </c>
      <c r="BP20" s="38">
        <v>0.21049999999999999</v>
      </c>
      <c r="BQ20" s="38">
        <v>0.17549999999999999</v>
      </c>
      <c r="BR20" s="41">
        <v>0.17949999999999999</v>
      </c>
      <c r="BS20" s="23" t="s">
        <v>38</v>
      </c>
      <c r="BT20" s="41">
        <v>0.14699999999999999</v>
      </c>
      <c r="BU20" s="23" t="s">
        <v>38</v>
      </c>
      <c r="BV20" s="41">
        <v>0.16700000000000001</v>
      </c>
      <c r="BW20" s="42">
        <v>0.20150000000000001</v>
      </c>
      <c r="BX20" s="42">
        <v>0.13200000000000001</v>
      </c>
      <c r="BY20" s="85">
        <f>(0.275+0.29)/2</f>
        <v>0.28249999999999997</v>
      </c>
      <c r="BZ20" s="85">
        <f>(0.327+0.332)/2</f>
        <v>0.32950000000000002</v>
      </c>
      <c r="CA20" s="87">
        <v>0.2525</v>
      </c>
    </row>
    <row r="21" spans="1:79">
      <c r="A21" s="21">
        <v>10</v>
      </c>
      <c r="B21" s="82">
        <v>254304.411941</v>
      </c>
      <c r="C21" s="82">
        <v>4505533.3200700004</v>
      </c>
      <c r="D21" s="19" t="s">
        <v>38</v>
      </c>
      <c r="E21" s="20">
        <v>0.158</v>
      </c>
      <c r="F21" s="20">
        <v>0.183</v>
      </c>
      <c r="G21" s="20">
        <v>0.19850000000000001</v>
      </c>
      <c r="H21" s="20">
        <v>0.1885</v>
      </c>
      <c r="I21" s="20">
        <v>0.14050000000000001</v>
      </c>
      <c r="J21" s="20">
        <v>0.112</v>
      </c>
      <c r="K21" s="20">
        <v>8.9499999999999996E-2</v>
      </c>
      <c r="L21" s="20">
        <v>0.115</v>
      </c>
      <c r="M21" s="20">
        <v>0.08</v>
      </c>
      <c r="N21" s="16">
        <v>0.1225</v>
      </c>
      <c r="O21" s="16">
        <v>0.1085</v>
      </c>
      <c r="P21" s="16">
        <v>0.1</v>
      </c>
      <c r="Q21" s="16">
        <v>0.15</v>
      </c>
      <c r="R21" s="16">
        <v>0.1845</v>
      </c>
      <c r="S21" s="16">
        <v>0.189</v>
      </c>
      <c r="T21" s="24">
        <v>0.30499999999999999</v>
      </c>
      <c r="U21" s="24">
        <v>0.17899999999999999</v>
      </c>
      <c r="V21" s="24">
        <v>0.183</v>
      </c>
      <c r="W21" s="24">
        <v>0.18099999999999999</v>
      </c>
      <c r="X21" s="24">
        <v>0.16900000000000001</v>
      </c>
      <c r="Y21" s="24">
        <v>0.151</v>
      </c>
      <c r="Z21" s="23">
        <v>0.17799999999999999</v>
      </c>
      <c r="AA21" s="24">
        <v>0.155</v>
      </c>
      <c r="AB21" s="24">
        <v>0.183</v>
      </c>
      <c r="AC21" s="24">
        <v>0.17799999999999999</v>
      </c>
      <c r="AD21" s="24">
        <v>0.191</v>
      </c>
      <c r="AE21" s="24">
        <v>0.20300000000000001</v>
      </c>
      <c r="AF21" s="24">
        <v>0.11899999999999999</v>
      </c>
      <c r="AG21" s="24">
        <v>0.115</v>
      </c>
      <c r="AH21" s="24">
        <v>0.122</v>
      </c>
      <c r="AI21" s="24">
        <v>0.129</v>
      </c>
      <c r="AJ21" s="24">
        <v>9.1999999999999998E-2</v>
      </c>
      <c r="AK21" s="24">
        <v>0.108</v>
      </c>
      <c r="AL21" s="24">
        <v>0.191</v>
      </c>
      <c r="AM21" s="24">
        <v>0.26400000000000001</v>
      </c>
      <c r="AN21" s="40">
        <v>0.16900000000000001</v>
      </c>
      <c r="AO21" s="40">
        <v>0.115</v>
      </c>
      <c r="AP21" s="40">
        <v>0.13100000000000001</v>
      </c>
      <c r="AQ21" s="40">
        <v>0.14949999999999999</v>
      </c>
      <c r="AR21" s="40">
        <v>0.13400000000000001</v>
      </c>
      <c r="AS21" s="40">
        <v>0.14099999999999999</v>
      </c>
      <c r="AT21" s="40">
        <v>0.129</v>
      </c>
      <c r="AU21" s="40">
        <v>0.12</v>
      </c>
      <c r="AV21" s="40">
        <v>0.111</v>
      </c>
      <c r="AW21" s="40">
        <v>9.2999999999999999E-2</v>
      </c>
      <c r="AX21" s="40">
        <v>9.5000000000000001E-2</v>
      </c>
      <c r="AY21" s="40">
        <v>0.16</v>
      </c>
      <c r="AZ21" s="40">
        <v>0.14499999999999999</v>
      </c>
      <c r="BA21" s="40">
        <v>0.157</v>
      </c>
      <c r="BB21" s="23" t="s">
        <v>38</v>
      </c>
      <c r="BC21" s="40">
        <v>0.13550000000000001</v>
      </c>
      <c r="BD21" s="23" t="s">
        <v>38</v>
      </c>
      <c r="BE21" s="23" t="s">
        <v>38</v>
      </c>
      <c r="BF21" s="23" t="s">
        <v>38</v>
      </c>
      <c r="BG21" s="40">
        <v>0.19650000000000001</v>
      </c>
      <c r="BH21" s="38">
        <v>0.13450000000000001</v>
      </c>
      <c r="BI21" s="38">
        <v>0.16300000000000001</v>
      </c>
      <c r="BJ21" s="38">
        <v>0.14799999999999999</v>
      </c>
      <c r="BK21" s="38">
        <v>0.17499999999999999</v>
      </c>
      <c r="BL21" s="38">
        <v>0.16600000000000001</v>
      </c>
      <c r="BM21" s="38">
        <v>0.128</v>
      </c>
      <c r="BN21" s="23" t="s">
        <v>38</v>
      </c>
      <c r="BO21" s="40">
        <v>0.1585</v>
      </c>
      <c r="BP21" s="38">
        <v>0.17349999999999999</v>
      </c>
      <c r="BQ21" s="38">
        <v>0.13550000000000001</v>
      </c>
      <c r="BR21" s="41">
        <v>0.16250000000000001</v>
      </c>
      <c r="BS21" s="23" t="s">
        <v>38</v>
      </c>
      <c r="BT21" s="41">
        <v>0.1205</v>
      </c>
      <c r="BU21" s="23" t="s">
        <v>38</v>
      </c>
      <c r="BV21" s="41">
        <v>0.14749999999999999</v>
      </c>
      <c r="BW21" s="42">
        <v>0.183</v>
      </c>
      <c r="BX21" s="42">
        <v>0.1515</v>
      </c>
      <c r="BY21" s="85">
        <f>(0.231+0.239)/2</f>
        <v>0.23499999999999999</v>
      </c>
      <c r="BZ21" s="85">
        <f>(0.32+0.319)/2</f>
        <v>0.31950000000000001</v>
      </c>
      <c r="CA21" s="87">
        <v>0.24149999999999999</v>
      </c>
    </row>
    <row r="22" spans="1:79">
      <c r="A22" s="21">
        <v>11</v>
      </c>
      <c r="B22" s="82">
        <v>254377.22509600001</v>
      </c>
      <c r="C22" s="82">
        <v>4505568.8344999999</v>
      </c>
      <c r="D22" s="19" t="s">
        <v>38</v>
      </c>
      <c r="E22" s="19" t="s">
        <v>38</v>
      </c>
      <c r="F22" s="19" t="s">
        <v>38</v>
      </c>
      <c r="G22" s="19" t="s">
        <v>38</v>
      </c>
      <c r="H22" s="19" t="s">
        <v>38</v>
      </c>
      <c r="I22" s="19" t="s">
        <v>38</v>
      </c>
      <c r="J22" s="19" t="s">
        <v>38</v>
      </c>
      <c r="K22" s="19" t="s">
        <v>38</v>
      </c>
      <c r="L22" s="19" t="s">
        <v>38</v>
      </c>
      <c r="M22" s="19" t="s">
        <v>38</v>
      </c>
      <c r="N22" s="16" t="s">
        <v>38</v>
      </c>
      <c r="O22" s="16" t="s">
        <v>38</v>
      </c>
      <c r="P22" s="16" t="s">
        <v>38</v>
      </c>
      <c r="Q22" s="16" t="s">
        <v>38</v>
      </c>
      <c r="R22" s="16" t="s">
        <v>38</v>
      </c>
      <c r="S22" s="16" t="s">
        <v>38</v>
      </c>
      <c r="T22" s="24">
        <v>0.373</v>
      </c>
      <c r="U22" s="24">
        <v>0.44400000000000001</v>
      </c>
      <c r="V22" s="24">
        <v>0.40899999999999997</v>
      </c>
      <c r="W22" s="24">
        <v>0.46899999999999997</v>
      </c>
      <c r="X22" s="24">
        <v>0.40100000000000002</v>
      </c>
      <c r="Y22" s="24">
        <v>0.32500000000000001</v>
      </c>
      <c r="Z22" s="23">
        <v>0.39600000000000002</v>
      </c>
      <c r="AA22" s="24">
        <v>0.41199999999999998</v>
      </c>
      <c r="AB22" s="24">
        <v>0.42299999999999999</v>
      </c>
      <c r="AC22" s="24">
        <v>0.39900000000000002</v>
      </c>
      <c r="AD22" s="24">
        <v>0.435</v>
      </c>
      <c r="AE22" s="24">
        <v>0.31900000000000001</v>
      </c>
      <c r="AF22" s="24">
        <v>0.28100000000000003</v>
      </c>
      <c r="AG22" s="24">
        <v>0.25800000000000001</v>
      </c>
      <c r="AH22" s="24">
        <v>0.17599999999999999</v>
      </c>
      <c r="AI22" s="24">
        <v>0.184</v>
      </c>
      <c r="AJ22" s="24">
        <v>0.24199999999999999</v>
      </c>
      <c r="AK22" s="24">
        <v>0.28499999999999998</v>
      </c>
      <c r="AL22" s="24">
        <v>0.48399999999999999</v>
      </c>
      <c r="AM22" s="24">
        <v>0.34699999999999998</v>
      </c>
      <c r="AN22" s="40">
        <v>0.32800000000000001</v>
      </c>
      <c r="AO22" s="40">
        <v>0.27200000000000002</v>
      </c>
      <c r="AP22" s="40">
        <v>0.32700000000000001</v>
      </c>
      <c r="AQ22" s="40">
        <v>0.3115</v>
      </c>
      <c r="AR22" s="40">
        <v>0.26800000000000002</v>
      </c>
      <c r="AS22" s="40">
        <v>0.27900000000000003</v>
      </c>
      <c r="AT22" s="40">
        <v>0.27800000000000002</v>
      </c>
      <c r="AU22" s="40">
        <v>0.25800000000000001</v>
      </c>
      <c r="AV22" s="40">
        <v>0.22900000000000001</v>
      </c>
      <c r="AW22" s="40">
        <v>0.19</v>
      </c>
      <c r="AX22" s="40">
        <v>0.436</v>
      </c>
      <c r="AY22" s="40">
        <v>0.28100000000000003</v>
      </c>
      <c r="AZ22" s="40">
        <v>0.255</v>
      </c>
      <c r="BA22" s="40">
        <v>0.26500000000000001</v>
      </c>
      <c r="BB22" s="49">
        <v>0.20400000000000001</v>
      </c>
      <c r="BC22" s="40">
        <v>0.20200000000000001</v>
      </c>
      <c r="BD22" s="23" t="s">
        <v>38</v>
      </c>
      <c r="BE22" s="23" t="s">
        <v>38</v>
      </c>
      <c r="BF22" s="23" t="s">
        <v>38</v>
      </c>
      <c r="BG22" s="40">
        <v>0.35549999999999998</v>
      </c>
      <c r="BH22" s="38">
        <v>0.25800000000000001</v>
      </c>
      <c r="BI22" s="38">
        <v>0.32400000000000001</v>
      </c>
      <c r="BJ22" s="38">
        <v>0.313</v>
      </c>
      <c r="BK22" s="38">
        <v>0.29849999999999999</v>
      </c>
      <c r="BL22" s="38">
        <v>0.33150000000000002</v>
      </c>
      <c r="BM22" s="38">
        <v>0.35699999999999998</v>
      </c>
      <c r="BN22" s="23" t="s">
        <v>38</v>
      </c>
      <c r="BO22" s="40">
        <v>0.34100000000000003</v>
      </c>
      <c r="BP22" s="38">
        <v>0.35049999999999998</v>
      </c>
      <c r="BQ22" s="38" t="s">
        <v>38</v>
      </c>
      <c r="BR22" s="41" t="s">
        <v>38</v>
      </c>
      <c r="BS22" s="23" t="s">
        <v>38</v>
      </c>
      <c r="BT22" s="41" t="s">
        <v>38</v>
      </c>
      <c r="BU22" s="23" t="s">
        <v>38</v>
      </c>
      <c r="BV22" s="41" t="s">
        <v>38</v>
      </c>
      <c r="BW22" s="42" t="s">
        <v>38</v>
      </c>
      <c r="BX22" s="42" t="s">
        <v>38</v>
      </c>
      <c r="BY22" s="85">
        <f>(0.305+0.311)/2</f>
        <v>0.308</v>
      </c>
      <c r="BZ22" s="85">
        <v>0.26700000000000002</v>
      </c>
      <c r="CA22" s="86">
        <v>0.43049999999999999</v>
      </c>
    </row>
    <row r="23" spans="1:79">
      <c r="A23" s="21">
        <v>12</v>
      </c>
      <c r="B23" s="82">
        <v>254378.35348799999</v>
      </c>
      <c r="C23" s="82">
        <v>4505539.32706</v>
      </c>
      <c r="D23" s="19" t="s">
        <v>38</v>
      </c>
      <c r="E23" s="20">
        <v>0.28399999999999997</v>
      </c>
      <c r="F23" s="20">
        <v>0.28599999999999998</v>
      </c>
      <c r="G23" s="20">
        <v>0.28549999999999998</v>
      </c>
      <c r="H23" s="20">
        <v>0.28700000000000003</v>
      </c>
      <c r="I23" s="20">
        <v>0.21600000000000003</v>
      </c>
      <c r="J23" s="20">
        <v>0.20450000000000002</v>
      </c>
      <c r="K23" s="20">
        <v>0.14699999999999999</v>
      </c>
      <c r="L23" s="20">
        <v>0.22600000000000001</v>
      </c>
      <c r="M23" s="20">
        <v>0.14299999999999999</v>
      </c>
      <c r="N23" s="16">
        <v>0.1865</v>
      </c>
      <c r="O23" s="16">
        <v>0.14200000000000002</v>
      </c>
      <c r="P23" s="16">
        <v>0.14899999999999999</v>
      </c>
      <c r="Q23" s="16">
        <v>0.23649999999999999</v>
      </c>
      <c r="R23" s="16">
        <v>0.2525</v>
      </c>
      <c r="S23" s="16">
        <v>0.23</v>
      </c>
      <c r="T23" s="24">
        <v>0.29499999999999998</v>
      </c>
      <c r="U23" s="24">
        <v>0.32300000000000001</v>
      </c>
      <c r="V23" s="24">
        <v>0.32600000000000001</v>
      </c>
      <c r="W23" s="24">
        <v>0.34499999999999997</v>
      </c>
      <c r="X23" s="24">
        <v>0.309</v>
      </c>
      <c r="Y23" s="24">
        <v>0.28399999999999997</v>
      </c>
      <c r="Z23" s="23">
        <v>0.309</v>
      </c>
      <c r="AA23" s="24">
        <v>0.3</v>
      </c>
      <c r="AB23" s="24">
        <v>0.312</v>
      </c>
      <c r="AC23" s="24">
        <v>0.29199999999999998</v>
      </c>
      <c r="AD23" s="24">
        <v>0.34100000000000003</v>
      </c>
      <c r="AE23" s="24">
        <v>0.26600000000000001</v>
      </c>
      <c r="AF23" s="24">
        <v>0.21199999999999999</v>
      </c>
      <c r="AG23" s="24">
        <v>0.223</v>
      </c>
      <c r="AH23" s="24">
        <v>0.13200000000000001</v>
      </c>
      <c r="AI23" s="24">
        <v>0.158</v>
      </c>
      <c r="AJ23" s="24">
        <v>0.16700000000000001</v>
      </c>
      <c r="AK23" s="24">
        <v>0.17599999999999999</v>
      </c>
      <c r="AL23" s="24">
        <v>0.33700000000000002</v>
      </c>
      <c r="AM23" s="24">
        <v>0.308</v>
      </c>
      <c r="AN23" s="40">
        <v>0.28599999999999998</v>
      </c>
      <c r="AO23" s="40">
        <v>0.19900000000000001</v>
      </c>
      <c r="AP23" s="40">
        <v>0.28399999999999997</v>
      </c>
      <c r="AQ23" s="40">
        <v>0.2515</v>
      </c>
      <c r="AR23" s="40">
        <v>0.23899999999999999</v>
      </c>
      <c r="AS23" s="40">
        <v>0.23599999999999999</v>
      </c>
      <c r="AT23" s="40">
        <v>0.23899999999999999</v>
      </c>
      <c r="AU23" s="40">
        <v>0.21099999999999999</v>
      </c>
      <c r="AV23" s="40">
        <v>0.188</v>
      </c>
      <c r="AW23" s="40">
        <v>0.17299999999999999</v>
      </c>
      <c r="AX23" s="40">
        <v>0.153</v>
      </c>
      <c r="AY23" s="40">
        <v>0.29399999999999998</v>
      </c>
      <c r="AZ23" s="40">
        <v>0.221</v>
      </c>
      <c r="BA23" s="40">
        <v>0.25800000000000001</v>
      </c>
      <c r="BB23" s="49" t="s">
        <v>38</v>
      </c>
      <c r="BC23" s="40">
        <v>0.27500000000000002</v>
      </c>
      <c r="BD23" s="23" t="s">
        <v>38</v>
      </c>
      <c r="BE23" s="23" t="s">
        <v>38</v>
      </c>
      <c r="BF23" s="23" t="s">
        <v>38</v>
      </c>
      <c r="BG23" s="40">
        <v>0.30199999999999999</v>
      </c>
      <c r="BH23" s="38">
        <v>0.27750000000000002</v>
      </c>
      <c r="BI23" s="38">
        <v>0.27449999999999997</v>
      </c>
      <c r="BJ23" s="38">
        <v>0.25950000000000001</v>
      </c>
      <c r="BK23" s="38">
        <v>0.27250000000000002</v>
      </c>
      <c r="BL23" s="38">
        <v>0.27100000000000002</v>
      </c>
      <c r="BM23" s="38">
        <v>0.29699999999999999</v>
      </c>
      <c r="BN23" s="23" t="s">
        <v>38</v>
      </c>
      <c r="BO23" s="40">
        <v>0.29299999999999998</v>
      </c>
      <c r="BP23" s="38">
        <v>0.27250000000000002</v>
      </c>
      <c r="BQ23" s="38">
        <v>0.19800000000000001</v>
      </c>
      <c r="BR23" s="41">
        <v>0.22700000000000001</v>
      </c>
      <c r="BS23" s="23" t="s">
        <v>38</v>
      </c>
      <c r="BT23" s="41">
        <v>0.19600000000000001</v>
      </c>
      <c r="BU23" s="23" t="s">
        <v>38</v>
      </c>
      <c r="BV23" s="41">
        <v>0.19350000000000001</v>
      </c>
      <c r="BW23" s="42">
        <v>0.254</v>
      </c>
      <c r="BX23" s="42">
        <v>0.27050000000000002</v>
      </c>
      <c r="BY23" s="85">
        <f>(0.324+0.336)/2</f>
        <v>0.33</v>
      </c>
      <c r="BZ23" s="85">
        <f>(0.258+0.261)/2</f>
        <v>0.25950000000000001</v>
      </c>
      <c r="CA23" s="87">
        <v>0.40749999999999997</v>
      </c>
    </row>
    <row r="24" spans="1:79">
      <c r="A24" s="21">
        <v>13</v>
      </c>
      <c r="B24" s="82">
        <v>254394.38724800001</v>
      </c>
      <c r="C24" s="82">
        <v>4505500.7558800001</v>
      </c>
      <c r="D24" s="19" t="s">
        <v>38</v>
      </c>
      <c r="E24" s="20">
        <v>0.221</v>
      </c>
      <c r="F24" s="20">
        <v>0.23</v>
      </c>
      <c r="G24" s="20">
        <v>0.25</v>
      </c>
      <c r="H24" s="20">
        <v>0.21149999999999999</v>
      </c>
      <c r="I24" s="20">
        <v>0.20899999999999999</v>
      </c>
      <c r="J24" s="20">
        <v>0.188</v>
      </c>
      <c r="K24" s="20">
        <v>0.11699999999999999</v>
      </c>
      <c r="L24" s="20">
        <v>0.214</v>
      </c>
      <c r="M24" s="20">
        <v>0.1205</v>
      </c>
      <c r="N24" s="16">
        <v>0.184</v>
      </c>
      <c r="O24" s="16">
        <v>0.12</v>
      </c>
      <c r="P24" s="16">
        <v>0.14199999999999999</v>
      </c>
      <c r="Q24" s="16">
        <v>0.20899999999999999</v>
      </c>
      <c r="R24" s="16" t="s">
        <v>38</v>
      </c>
      <c r="S24" s="16">
        <v>0.19450000000000001</v>
      </c>
      <c r="T24" s="24">
        <v>0.23200000000000001</v>
      </c>
      <c r="U24" s="24">
        <v>0.27400000000000002</v>
      </c>
      <c r="V24" s="24">
        <v>0.28100000000000003</v>
      </c>
      <c r="W24" s="24">
        <v>0.314</v>
      </c>
      <c r="X24" s="24">
        <v>0.25800000000000001</v>
      </c>
      <c r="Y24" s="24">
        <v>0.25700000000000001</v>
      </c>
      <c r="Z24" s="23">
        <v>0.27300000000000002</v>
      </c>
      <c r="AA24" s="24">
        <v>0.28699999999999998</v>
      </c>
      <c r="AB24" s="24">
        <v>0.28000000000000003</v>
      </c>
      <c r="AC24" s="24">
        <v>0.308</v>
      </c>
      <c r="AD24" s="24">
        <v>0.29399999999999998</v>
      </c>
      <c r="AE24" s="24">
        <v>0.27400000000000002</v>
      </c>
      <c r="AF24" s="24">
        <v>0.22900000000000001</v>
      </c>
      <c r="AG24" s="24">
        <v>0.23599999999999999</v>
      </c>
      <c r="AH24" s="24">
        <v>0.151</v>
      </c>
      <c r="AI24" s="24">
        <v>0.14899999999999999</v>
      </c>
      <c r="AJ24" s="24">
        <v>0.193</v>
      </c>
      <c r="AK24" s="24">
        <v>0.161</v>
      </c>
      <c r="AL24" s="24">
        <v>0.29299999999999998</v>
      </c>
      <c r="AM24" s="24">
        <v>0.26500000000000001</v>
      </c>
      <c r="AN24" s="40">
        <v>0.23899999999999999</v>
      </c>
      <c r="AO24" s="40">
        <v>0.17</v>
      </c>
      <c r="AP24" s="40">
        <v>0.189</v>
      </c>
      <c r="AQ24" s="40">
        <v>0.26050000000000001</v>
      </c>
      <c r="AR24" s="40">
        <v>0.22900000000000001</v>
      </c>
      <c r="AS24" s="40">
        <v>0.215</v>
      </c>
      <c r="AT24" s="40">
        <v>0.217</v>
      </c>
      <c r="AU24" s="40">
        <v>0.193</v>
      </c>
      <c r="AV24" s="40">
        <v>0.16</v>
      </c>
      <c r="AW24" s="40">
        <v>0.14599999999999999</v>
      </c>
      <c r="AX24" s="40">
        <v>0.14399999999999999</v>
      </c>
      <c r="AY24" s="40">
        <v>0.26500000000000001</v>
      </c>
      <c r="AZ24" s="40">
        <v>0.22700000000000001</v>
      </c>
      <c r="BA24" s="40">
        <v>0.22500000000000001</v>
      </c>
      <c r="BB24" s="49" t="s">
        <v>38</v>
      </c>
      <c r="BC24" s="40">
        <v>0.2555</v>
      </c>
      <c r="BD24" s="23" t="s">
        <v>38</v>
      </c>
      <c r="BE24" s="23" t="s">
        <v>38</v>
      </c>
      <c r="BF24" s="23" t="s">
        <v>38</v>
      </c>
      <c r="BG24" s="40">
        <v>0.2485</v>
      </c>
      <c r="BH24" s="38">
        <v>0.19950000000000001</v>
      </c>
      <c r="BI24" s="38">
        <v>0.224</v>
      </c>
      <c r="BJ24" s="38">
        <v>0.22900000000000001</v>
      </c>
      <c r="BK24" s="38">
        <v>0.2215</v>
      </c>
      <c r="BL24" s="38">
        <v>0.23549999999999999</v>
      </c>
      <c r="BM24" s="38">
        <v>0.252</v>
      </c>
      <c r="BN24" s="23" t="s">
        <v>38</v>
      </c>
      <c r="BO24" s="40">
        <v>0.22500000000000001</v>
      </c>
      <c r="BP24" s="38">
        <v>0.21050000000000002</v>
      </c>
      <c r="BQ24" s="38">
        <v>0.19850000000000001</v>
      </c>
      <c r="BR24" s="41">
        <v>0.23050000000000001</v>
      </c>
      <c r="BS24" s="23" t="s">
        <v>38</v>
      </c>
      <c r="BT24" s="41">
        <v>0.1895</v>
      </c>
      <c r="BU24" s="23" t="s">
        <v>38</v>
      </c>
      <c r="BV24" s="41">
        <v>0.19400000000000001</v>
      </c>
      <c r="BW24" s="42">
        <v>0.24049999999999999</v>
      </c>
      <c r="BX24" s="42">
        <v>0.182</v>
      </c>
      <c r="BY24" s="85" t="s">
        <v>38</v>
      </c>
      <c r="BZ24" s="85">
        <f>(0.189+0.183)/2</f>
        <v>0.186</v>
      </c>
      <c r="CA24" s="87" t="s">
        <v>38</v>
      </c>
    </row>
    <row r="25" spans="1:79">
      <c r="A25" s="21">
        <v>14</v>
      </c>
      <c r="B25" s="82">
        <v>254403.568317</v>
      </c>
      <c r="C25" s="82">
        <v>4505486.8415299999</v>
      </c>
      <c r="D25" s="19" t="s">
        <v>38</v>
      </c>
      <c r="E25" s="20">
        <v>0.17100000000000001</v>
      </c>
      <c r="F25" s="20">
        <v>0.1825</v>
      </c>
      <c r="G25" s="20">
        <v>0.1855</v>
      </c>
      <c r="H25" s="20">
        <v>0.17050000000000001</v>
      </c>
      <c r="I25" s="20">
        <v>0.159</v>
      </c>
      <c r="J25" s="20">
        <v>0.13250000000000001</v>
      </c>
      <c r="K25" s="20">
        <v>0.104</v>
      </c>
      <c r="L25" s="20">
        <v>0.17049999999999998</v>
      </c>
      <c r="M25" s="20">
        <v>9.6000000000000002E-2</v>
      </c>
      <c r="N25" s="16">
        <v>0.15</v>
      </c>
      <c r="O25" s="16">
        <v>0.1215</v>
      </c>
      <c r="P25" s="16">
        <v>0.11649999999999999</v>
      </c>
      <c r="Q25" s="16">
        <v>0.155</v>
      </c>
      <c r="R25" s="16">
        <v>0.1615</v>
      </c>
      <c r="S25" s="16">
        <v>0.16850000000000001</v>
      </c>
      <c r="T25" s="24">
        <v>0.33400000000000002</v>
      </c>
      <c r="U25" s="24">
        <v>0.18099999999999999</v>
      </c>
      <c r="V25" s="24">
        <v>0.187</v>
      </c>
      <c r="W25" s="24">
        <v>0.19</v>
      </c>
      <c r="X25" s="24">
        <v>0.155</v>
      </c>
      <c r="Y25" s="24">
        <v>0.13800000000000001</v>
      </c>
      <c r="Z25" s="23">
        <v>0.156</v>
      </c>
      <c r="AA25" s="24">
        <v>0.16700000000000001</v>
      </c>
      <c r="AB25" s="24">
        <v>0.186</v>
      </c>
      <c r="AC25" s="24">
        <v>0.19600000000000001</v>
      </c>
      <c r="AD25" s="24">
        <v>0.214</v>
      </c>
      <c r="AE25" s="24">
        <v>0.183</v>
      </c>
      <c r="AF25" s="24">
        <v>0.15</v>
      </c>
      <c r="AG25" s="24">
        <v>0.17199999999999999</v>
      </c>
      <c r="AH25" s="24">
        <v>0.13</v>
      </c>
      <c r="AI25" s="24">
        <v>0.13100000000000001</v>
      </c>
      <c r="AJ25" s="24">
        <v>0.13900000000000001</v>
      </c>
      <c r="AK25" s="24">
        <v>0.13100000000000001</v>
      </c>
      <c r="AL25" s="24">
        <v>0.21099999999999999</v>
      </c>
      <c r="AM25" s="24">
        <v>0.216</v>
      </c>
      <c r="AN25" s="40">
        <v>0.17899999999999999</v>
      </c>
      <c r="AO25" s="40">
        <v>0.13200000000000001</v>
      </c>
      <c r="AP25" s="40" t="s">
        <v>38</v>
      </c>
      <c r="AQ25" s="40">
        <v>0.17449999999999999</v>
      </c>
      <c r="AR25" s="40">
        <v>0.13900000000000001</v>
      </c>
      <c r="AS25" s="40">
        <v>0.13300000000000001</v>
      </c>
      <c r="AT25" s="40">
        <v>0.14499999999999999</v>
      </c>
      <c r="AU25" s="40">
        <v>0.121</v>
      </c>
      <c r="AV25" s="40">
        <v>0.127</v>
      </c>
      <c r="AW25" s="40">
        <v>0.123</v>
      </c>
      <c r="AX25" s="40">
        <v>0.11700000000000001</v>
      </c>
      <c r="AY25" s="40">
        <v>0.17100000000000001</v>
      </c>
      <c r="AZ25" s="40">
        <v>0.152</v>
      </c>
      <c r="BA25" s="40">
        <v>0.159</v>
      </c>
      <c r="BB25" s="49" t="s">
        <v>38</v>
      </c>
      <c r="BC25" s="40">
        <v>0.154</v>
      </c>
      <c r="BD25" s="23" t="s">
        <v>38</v>
      </c>
      <c r="BE25" s="23" t="s">
        <v>38</v>
      </c>
      <c r="BF25" s="23" t="s">
        <v>38</v>
      </c>
      <c r="BG25" s="40">
        <v>0.1865</v>
      </c>
      <c r="BH25" s="38">
        <v>0.152</v>
      </c>
      <c r="BI25" s="38">
        <v>0.17349999999999999</v>
      </c>
      <c r="BJ25" s="38">
        <v>0.16250000000000001</v>
      </c>
      <c r="BK25" s="38">
        <v>0.16300000000000001</v>
      </c>
      <c r="BL25" s="38">
        <v>0.16</v>
      </c>
      <c r="BM25" s="38">
        <v>0.17299999999999999</v>
      </c>
      <c r="BN25" s="23" t="s">
        <v>38</v>
      </c>
      <c r="BO25" s="40">
        <v>0.17299999999999999</v>
      </c>
      <c r="BP25" s="38">
        <v>0.17349999999999999</v>
      </c>
      <c r="BQ25" s="38">
        <v>0.13700000000000001</v>
      </c>
      <c r="BR25" s="41">
        <v>0.155</v>
      </c>
      <c r="BS25" s="23" t="s">
        <v>38</v>
      </c>
      <c r="BT25" s="41">
        <v>0.13250000000000001</v>
      </c>
      <c r="BU25" s="23" t="s">
        <v>38</v>
      </c>
      <c r="BV25" s="41">
        <v>0.14450000000000002</v>
      </c>
      <c r="BW25" s="42">
        <v>0.158</v>
      </c>
      <c r="BX25" s="42">
        <v>0.152</v>
      </c>
      <c r="BY25" s="85">
        <f>(0.24+0.225)/2</f>
        <v>0.23249999999999998</v>
      </c>
      <c r="BZ25" s="85">
        <f>(0.275+0.256)/2</f>
        <v>0.26550000000000001</v>
      </c>
      <c r="CA25" s="87" t="s">
        <v>38</v>
      </c>
    </row>
    <row r="26" spans="1:79">
      <c r="A26" s="21">
        <v>15</v>
      </c>
      <c r="B26" s="82">
        <v>254457.11685300001</v>
      </c>
      <c r="C26" s="82">
        <v>4505584.8307699999</v>
      </c>
      <c r="D26" s="19">
        <v>0.32600000000000001</v>
      </c>
      <c r="E26" s="20">
        <v>0.316</v>
      </c>
      <c r="F26" s="20">
        <v>0.29349999999999998</v>
      </c>
      <c r="G26" s="20">
        <v>0.33950000000000002</v>
      </c>
      <c r="H26" s="19" t="s">
        <v>38</v>
      </c>
      <c r="I26" s="20">
        <v>0.29600000000000004</v>
      </c>
      <c r="J26" s="20">
        <v>0.27600000000000002</v>
      </c>
      <c r="K26" s="20">
        <v>0.19700000000000001</v>
      </c>
      <c r="L26" s="20" t="s">
        <v>38</v>
      </c>
      <c r="M26" s="20" t="s">
        <v>38</v>
      </c>
      <c r="N26" s="16" t="s">
        <v>38</v>
      </c>
      <c r="O26" s="16">
        <v>0.16849999999999998</v>
      </c>
      <c r="P26" s="16" t="s">
        <v>38</v>
      </c>
      <c r="Q26" s="16" t="s">
        <v>38</v>
      </c>
      <c r="R26" s="16" t="s">
        <v>38</v>
      </c>
      <c r="S26" s="16" t="s">
        <v>38</v>
      </c>
      <c r="T26" s="23">
        <v>0.433</v>
      </c>
      <c r="U26" s="23">
        <v>0.45500000000000002</v>
      </c>
      <c r="V26" s="23">
        <v>0.52400000000000002</v>
      </c>
      <c r="W26" s="23">
        <v>0.59899999999999998</v>
      </c>
      <c r="X26" s="23">
        <v>0.43099999999999999</v>
      </c>
      <c r="Y26" s="23">
        <v>0.39</v>
      </c>
      <c r="Z26" s="23">
        <v>0.51300000000000001</v>
      </c>
      <c r="AA26" s="23">
        <v>0.51800000000000002</v>
      </c>
      <c r="AB26" s="23">
        <v>0.54600000000000004</v>
      </c>
      <c r="AC26" s="24">
        <v>0.50900000000000001</v>
      </c>
      <c r="AD26" s="24">
        <v>0.41299999999999998</v>
      </c>
      <c r="AE26" s="24">
        <v>0.44600000000000001</v>
      </c>
      <c r="AF26" s="24">
        <v>0.374</v>
      </c>
      <c r="AG26" s="24">
        <v>0.28799999999999998</v>
      </c>
      <c r="AH26" s="24">
        <v>0.26400000000000001</v>
      </c>
      <c r="AI26" s="24">
        <v>0.26</v>
      </c>
      <c r="AJ26" s="24">
        <v>0.251</v>
      </c>
      <c r="AK26" s="24">
        <v>0.215</v>
      </c>
      <c r="AL26" s="24">
        <v>0.46300000000000002</v>
      </c>
      <c r="AM26" s="24">
        <v>0.41899999999999998</v>
      </c>
      <c r="AN26" s="40">
        <v>0.377</v>
      </c>
      <c r="AO26" s="40">
        <v>0.28999999999999998</v>
      </c>
      <c r="AP26" s="40">
        <v>0.309</v>
      </c>
      <c r="AQ26" s="40">
        <v>0.36799999999999999</v>
      </c>
      <c r="AR26" s="40">
        <v>0.33300000000000002</v>
      </c>
      <c r="AS26" s="40">
        <v>0.32100000000000001</v>
      </c>
      <c r="AT26" s="40" t="s">
        <v>38</v>
      </c>
      <c r="AU26" s="40">
        <v>0.27900000000000003</v>
      </c>
      <c r="AV26" s="40" t="s">
        <v>38</v>
      </c>
      <c r="AW26" s="40">
        <v>0.20899999999999999</v>
      </c>
      <c r="AX26" s="40">
        <v>0.17599999999999999</v>
      </c>
      <c r="AY26" s="40">
        <v>0.28000000000000003</v>
      </c>
      <c r="AZ26" s="40">
        <v>0.26600000000000001</v>
      </c>
      <c r="BA26" s="40">
        <v>0.33800000000000002</v>
      </c>
      <c r="BB26" s="49">
        <v>0.28749999999999998</v>
      </c>
      <c r="BC26" s="40">
        <v>0.28949999999999998</v>
      </c>
      <c r="BD26" s="23" t="s">
        <v>38</v>
      </c>
      <c r="BE26" s="50">
        <v>0.317</v>
      </c>
      <c r="BF26" s="50">
        <v>0.28949999999999998</v>
      </c>
      <c r="BG26" s="40">
        <v>0.36350000000000005</v>
      </c>
      <c r="BH26" s="38">
        <v>0.3165</v>
      </c>
      <c r="BI26" s="38">
        <v>0.33450000000000002</v>
      </c>
      <c r="BJ26" s="38">
        <v>0.38</v>
      </c>
      <c r="BK26" s="38">
        <v>0.33700000000000002</v>
      </c>
      <c r="BL26" s="38">
        <v>0.3105</v>
      </c>
      <c r="BM26" s="38">
        <v>0.29649999999999999</v>
      </c>
      <c r="BN26" s="40">
        <v>0.35299999999999998</v>
      </c>
      <c r="BO26" s="40">
        <v>0.35</v>
      </c>
      <c r="BP26" s="38">
        <v>0.32300000000000001</v>
      </c>
      <c r="BQ26" s="38">
        <v>0.29349999999999998</v>
      </c>
      <c r="BR26" s="41">
        <v>0.316</v>
      </c>
      <c r="BS26" s="41">
        <v>0.27149999999999996</v>
      </c>
      <c r="BT26" s="41">
        <v>0.2525</v>
      </c>
      <c r="BU26" s="42">
        <v>0.29499999999999998</v>
      </c>
      <c r="BV26" s="41">
        <v>0.26</v>
      </c>
      <c r="BW26" s="42">
        <v>0.32199999999999995</v>
      </c>
      <c r="BX26" s="42" t="s">
        <v>38</v>
      </c>
      <c r="BY26" s="85">
        <f>(0.391+0.377)/2</f>
        <v>0.38400000000000001</v>
      </c>
      <c r="BZ26" s="85">
        <f>(0.358+0.372)/2</f>
        <v>0.36499999999999999</v>
      </c>
      <c r="CA26" s="87">
        <v>0.53249999999999997</v>
      </c>
    </row>
    <row r="27" spans="1:79">
      <c r="A27" s="21" t="s">
        <v>10</v>
      </c>
      <c r="B27" s="82">
        <v>254458.34024699999</v>
      </c>
      <c r="C27" s="82">
        <v>4505584.0551300002</v>
      </c>
      <c r="D27" s="19">
        <v>0.216</v>
      </c>
      <c r="E27" s="20">
        <v>0.32800000000000001</v>
      </c>
      <c r="F27" s="20">
        <v>0.33650000000000002</v>
      </c>
      <c r="G27" s="20">
        <v>0.34350000000000003</v>
      </c>
      <c r="H27" s="20">
        <v>0.32450000000000001</v>
      </c>
      <c r="I27" s="20">
        <v>0.29199999999999998</v>
      </c>
      <c r="J27" s="20">
        <v>0.28200000000000003</v>
      </c>
      <c r="K27" s="20">
        <v>0.23300000000000001</v>
      </c>
      <c r="L27" s="20">
        <v>0.307</v>
      </c>
      <c r="M27" s="20">
        <v>0.2225</v>
      </c>
      <c r="N27" s="16">
        <v>0.2545</v>
      </c>
      <c r="O27" s="16">
        <v>0.20950000000000002</v>
      </c>
      <c r="P27" s="16">
        <v>0.2215</v>
      </c>
      <c r="Q27" s="16">
        <v>0.27350000000000002</v>
      </c>
      <c r="R27" s="16">
        <v>0.32750000000000001</v>
      </c>
      <c r="S27" s="16">
        <v>0.28000000000000003</v>
      </c>
      <c r="T27" s="24">
        <v>0.39700000000000002</v>
      </c>
      <c r="U27" s="24">
        <v>0.35899999999999999</v>
      </c>
      <c r="V27" s="24">
        <v>0.375</v>
      </c>
      <c r="W27" s="24">
        <v>0.44400000000000001</v>
      </c>
      <c r="X27" s="24">
        <v>0.34799999999999998</v>
      </c>
      <c r="Y27" s="24" t="s">
        <v>38</v>
      </c>
      <c r="Z27" s="23">
        <v>0.39700000000000002</v>
      </c>
      <c r="AA27" s="24">
        <v>0.38800000000000001</v>
      </c>
      <c r="AB27" s="24">
        <v>0.39300000000000002</v>
      </c>
      <c r="AC27" s="24">
        <v>0.39100000000000001</v>
      </c>
      <c r="AD27" s="24">
        <v>0.34100000000000003</v>
      </c>
      <c r="AE27" s="24" t="s">
        <v>38</v>
      </c>
      <c r="AF27" s="24">
        <v>0.30599999999999999</v>
      </c>
      <c r="AG27" s="24">
        <v>0.38800000000000001</v>
      </c>
      <c r="AH27" s="24">
        <v>0.29099999999999998</v>
      </c>
      <c r="AI27" s="24">
        <v>0.31900000000000001</v>
      </c>
      <c r="AJ27" s="24" t="s">
        <v>38</v>
      </c>
      <c r="AK27" s="24">
        <v>0.253</v>
      </c>
      <c r="AL27" s="24" t="s">
        <v>38</v>
      </c>
      <c r="AM27" s="24">
        <v>0.40400000000000003</v>
      </c>
      <c r="AN27" s="40">
        <v>0.31</v>
      </c>
      <c r="AO27" s="40" t="s">
        <v>38</v>
      </c>
      <c r="AP27" s="40" t="s">
        <v>38</v>
      </c>
      <c r="AQ27" s="40">
        <v>0.34100000000000003</v>
      </c>
      <c r="AR27" s="40" t="s">
        <v>38</v>
      </c>
      <c r="AS27" s="40">
        <v>0.317</v>
      </c>
      <c r="AT27" s="40" t="s">
        <v>38</v>
      </c>
      <c r="AU27" s="40">
        <v>0.26700000000000002</v>
      </c>
      <c r="AV27" s="40" t="s">
        <v>38</v>
      </c>
      <c r="AW27" s="40" t="s">
        <v>38</v>
      </c>
      <c r="AX27" s="40" t="s">
        <v>38</v>
      </c>
      <c r="AY27" s="40">
        <v>0.312</v>
      </c>
      <c r="AZ27" s="40">
        <v>0.27400000000000002</v>
      </c>
      <c r="BA27" s="40">
        <v>0.30499999999999999</v>
      </c>
      <c r="BB27" s="49">
        <v>0.30549999999999999</v>
      </c>
      <c r="BC27" s="40">
        <v>0.30399999999999999</v>
      </c>
      <c r="BD27" s="23" t="s">
        <v>38</v>
      </c>
      <c r="BE27" s="50">
        <v>0.32650000000000001</v>
      </c>
      <c r="BF27" s="58">
        <v>0.32300000000000001</v>
      </c>
      <c r="BG27" s="40">
        <v>0.3775</v>
      </c>
      <c r="BH27" s="38" t="s">
        <v>38</v>
      </c>
      <c r="BI27" s="38" t="s">
        <v>38</v>
      </c>
      <c r="BJ27" s="39" t="s">
        <v>38</v>
      </c>
      <c r="BK27" s="38">
        <v>0.318</v>
      </c>
      <c r="BL27" s="38">
        <v>0.31</v>
      </c>
      <c r="BM27" s="39" t="s">
        <v>38</v>
      </c>
      <c r="BN27" s="39" t="s">
        <v>38</v>
      </c>
      <c r="BO27" s="40" t="s">
        <v>38</v>
      </c>
      <c r="BP27" s="38" t="s">
        <v>38</v>
      </c>
      <c r="BQ27" s="38">
        <v>0.28300000000000003</v>
      </c>
      <c r="BR27" s="41">
        <v>0.3085</v>
      </c>
      <c r="BS27" s="41">
        <v>0.28400000000000003</v>
      </c>
      <c r="BT27" s="41">
        <v>0.28049999999999997</v>
      </c>
      <c r="BU27" s="42">
        <v>0.29849999999999999</v>
      </c>
      <c r="BV27" s="41" t="s">
        <v>38</v>
      </c>
      <c r="BW27" s="42">
        <v>0.33100000000000002</v>
      </c>
      <c r="BX27" s="42">
        <v>0.32750000000000001</v>
      </c>
      <c r="BY27" s="85">
        <f>(0.411+0.401)/2</f>
        <v>0.40600000000000003</v>
      </c>
      <c r="BZ27" s="85">
        <f>(0.35+0.351)/2</f>
        <v>0.35049999999999998</v>
      </c>
      <c r="CA27" s="87">
        <v>0.49249999999999999</v>
      </c>
    </row>
    <row r="28" spans="1:79">
      <c r="A28" s="21" t="s">
        <v>11</v>
      </c>
      <c r="B28" s="82">
        <v>254456.479143</v>
      </c>
      <c r="C28" s="82">
        <v>4505583.56623</v>
      </c>
      <c r="D28" s="19">
        <v>0.36649999999999999</v>
      </c>
      <c r="E28" s="20">
        <v>0.33850000000000002</v>
      </c>
      <c r="F28" s="20">
        <v>0.3755</v>
      </c>
      <c r="G28" s="20">
        <v>0.3695</v>
      </c>
      <c r="H28" s="20">
        <v>0.35349999999999998</v>
      </c>
      <c r="I28" s="20">
        <v>0.3115</v>
      </c>
      <c r="J28" s="20">
        <v>0.27550000000000002</v>
      </c>
      <c r="K28" s="20">
        <v>0.214</v>
      </c>
      <c r="L28" s="20">
        <v>0.3135</v>
      </c>
      <c r="M28" s="20">
        <v>0.21249999999999999</v>
      </c>
      <c r="N28" s="16">
        <v>0.27150000000000002</v>
      </c>
      <c r="O28" s="16">
        <v>0.19350000000000001</v>
      </c>
      <c r="P28" s="16" t="s">
        <v>38</v>
      </c>
      <c r="Q28" s="16">
        <v>0.29549999999999998</v>
      </c>
      <c r="R28" s="16" t="s">
        <v>38</v>
      </c>
      <c r="S28" s="16" t="s">
        <v>38</v>
      </c>
      <c r="T28" s="24">
        <v>0.46500000000000002</v>
      </c>
      <c r="U28" s="24">
        <v>0.40200000000000002</v>
      </c>
      <c r="V28" s="24">
        <v>0.42599999999999999</v>
      </c>
      <c r="W28" s="24">
        <v>0.46800000000000003</v>
      </c>
      <c r="X28" s="24">
        <v>0.39500000000000002</v>
      </c>
      <c r="Y28" s="24" t="s">
        <v>38</v>
      </c>
      <c r="Z28" s="23">
        <v>0.42</v>
      </c>
      <c r="AA28" s="24">
        <v>0.41599999999999998</v>
      </c>
      <c r="AB28" s="24">
        <v>0.42199999999999999</v>
      </c>
      <c r="AC28" s="24">
        <v>0.39500000000000002</v>
      </c>
      <c r="AD28" s="24">
        <v>0.379</v>
      </c>
      <c r="AE28" s="24" t="s">
        <v>38</v>
      </c>
      <c r="AF28" s="24">
        <v>0.315</v>
      </c>
      <c r="AG28" s="24">
        <v>0.36499999999999999</v>
      </c>
      <c r="AH28" s="24">
        <v>0.26300000000000001</v>
      </c>
      <c r="AI28" s="24">
        <v>0.32</v>
      </c>
      <c r="AJ28" s="24" t="s">
        <v>38</v>
      </c>
      <c r="AK28" s="24">
        <v>0.23899999999999999</v>
      </c>
      <c r="AL28" s="24" t="s">
        <v>38</v>
      </c>
      <c r="AM28" s="24">
        <v>0.42099999999999999</v>
      </c>
      <c r="AN28" s="40">
        <v>0.34</v>
      </c>
      <c r="AO28" s="40" t="s">
        <v>38</v>
      </c>
      <c r="AP28" s="40" t="s">
        <v>38</v>
      </c>
      <c r="AQ28" s="40">
        <v>0.3135</v>
      </c>
      <c r="AR28" s="40" t="s">
        <v>38</v>
      </c>
      <c r="AS28" s="40">
        <v>0.33500000000000002</v>
      </c>
      <c r="AT28" s="40" t="s">
        <v>38</v>
      </c>
      <c r="AU28" s="40">
        <v>0.27600000000000002</v>
      </c>
      <c r="AV28" s="40" t="s">
        <v>38</v>
      </c>
      <c r="AW28" s="40" t="s">
        <v>38</v>
      </c>
      <c r="AX28" s="40" t="s">
        <v>38</v>
      </c>
      <c r="AY28" s="40">
        <v>0.35599999999999998</v>
      </c>
      <c r="AZ28" s="40">
        <v>0.29899999999999999</v>
      </c>
      <c r="BA28" s="40">
        <v>0.34</v>
      </c>
      <c r="BB28" s="49">
        <v>0.32200000000000001</v>
      </c>
      <c r="BC28" s="40">
        <v>0.29700000000000004</v>
      </c>
      <c r="BD28" s="23" t="s">
        <v>38</v>
      </c>
      <c r="BE28" s="50">
        <v>0.36</v>
      </c>
      <c r="BF28" s="58">
        <v>0.26100000000000001</v>
      </c>
      <c r="BG28" s="40">
        <v>0.39750000000000002</v>
      </c>
      <c r="BH28" s="38" t="s">
        <v>38</v>
      </c>
      <c r="BI28" s="38" t="s">
        <v>38</v>
      </c>
      <c r="BJ28" s="39" t="s">
        <v>38</v>
      </c>
      <c r="BK28" s="38">
        <v>0.33950000000000002</v>
      </c>
      <c r="BL28" s="38">
        <v>0.33300000000000002</v>
      </c>
      <c r="BM28" s="39" t="s">
        <v>38</v>
      </c>
      <c r="BN28" s="39" t="s">
        <v>38</v>
      </c>
      <c r="BO28" s="40" t="s">
        <v>38</v>
      </c>
      <c r="BP28" s="38" t="s">
        <v>38</v>
      </c>
      <c r="BQ28" s="38">
        <v>0.28999999999999998</v>
      </c>
      <c r="BR28" s="41">
        <v>0.32950000000000002</v>
      </c>
      <c r="BS28" s="41">
        <v>0.28849999999999998</v>
      </c>
      <c r="BT28" s="41">
        <v>0.28149999999999997</v>
      </c>
      <c r="BU28" s="42">
        <v>0.3175</v>
      </c>
      <c r="BV28" s="41" t="s">
        <v>38</v>
      </c>
      <c r="BW28" s="42">
        <v>0.39300000000000002</v>
      </c>
      <c r="BX28" s="42" t="s">
        <v>38</v>
      </c>
      <c r="BY28" s="85">
        <f>(0.388+0.37)/2</f>
        <v>0.379</v>
      </c>
      <c r="BZ28" s="85">
        <f>(0.363+0.341)/2</f>
        <v>0.35199999999999998</v>
      </c>
      <c r="CA28" s="87">
        <v>0.4985</v>
      </c>
    </row>
    <row r="29" spans="1:79">
      <c r="A29" s="21" t="s">
        <v>12</v>
      </c>
      <c r="B29" s="82">
        <v>254455.93775099999</v>
      </c>
      <c r="C29" s="82">
        <v>4505585.4930299995</v>
      </c>
      <c r="D29" s="19">
        <v>0.38650000000000001</v>
      </c>
      <c r="E29" s="20">
        <v>0.39250000000000002</v>
      </c>
      <c r="F29" s="20">
        <v>0.42749999999999999</v>
      </c>
      <c r="G29" s="20">
        <v>0.44850000000000001</v>
      </c>
      <c r="H29" s="20">
        <v>0.42349999999999999</v>
      </c>
      <c r="I29" s="20">
        <v>0.38100000000000001</v>
      </c>
      <c r="J29" s="20">
        <v>0.33200000000000002</v>
      </c>
      <c r="K29" s="20">
        <v>0.2235</v>
      </c>
      <c r="L29" s="20">
        <v>0.33250000000000002</v>
      </c>
      <c r="M29" s="20">
        <v>0.23049999999999998</v>
      </c>
      <c r="N29" s="16">
        <v>0.27600000000000002</v>
      </c>
      <c r="O29" s="16">
        <v>0.22899999999999998</v>
      </c>
      <c r="P29" s="16" t="s">
        <v>38</v>
      </c>
      <c r="Q29" s="16">
        <v>0.33200000000000002</v>
      </c>
      <c r="R29" s="16" t="s">
        <v>38</v>
      </c>
      <c r="S29" s="16" t="s">
        <v>38</v>
      </c>
      <c r="T29" s="24">
        <v>0.52800000000000002</v>
      </c>
      <c r="U29" s="24">
        <v>0.48099999999999998</v>
      </c>
      <c r="V29" s="24">
        <v>0.54100000000000004</v>
      </c>
      <c r="W29" s="24">
        <v>0.58299999999999996</v>
      </c>
      <c r="X29" s="24">
        <v>0.5</v>
      </c>
      <c r="Y29" s="24" t="s">
        <v>38</v>
      </c>
      <c r="Z29" s="23">
        <v>0.55400000000000005</v>
      </c>
      <c r="AA29" s="24">
        <v>0.53900000000000003</v>
      </c>
      <c r="AB29" s="24">
        <v>0.58399999999999996</v>
      </c>
      <c r="AC29" s="24">
        <v>0.59499999999999997</v>
      </c>
      <c r="AD29" s="24">
        <v>0.46200000000000002</v>
      </c>
      <c r="AE29" s="24" t="s">
        <v>38</v>
      </c>
      <c r="AF29" s="24">
        <v>0.42199999999999999</v>
      </c>
      <c r="AG29" s="24">
        <v>0.28000000000000003</v>
      </c>
      <c r="AH29" s="24">
        <v>0.26500000000000001</v>
      </c>
      <c r="AI29" s="24">
        <v>0.27600000000000002</v>
      </c>
      <c r="AJ29" s="24" t="s">
        <v>38</v>
      </c>
      <c r="AK29" s="24">
        <v>0.25</v>
      </c>
      <c r="AL29" s="24" t="s">
        <v>38</v>
      </c>
      <c r="AM29" s="24">
        <v>0.55700000000000005</v>
      </c>
      <c r="AN29" s="40">
        <v>0.39100000000000001</v>
      </c>
      <c r="AO29" s="40" t="s">
        <v>38</v>
      </c>
      <c r="AP29" s="40" t="s">
        <v>38</v>
      </c>
      <c r="AQ29" s="40">
        <v>0.45900000000000002</v>
      </c>
      <c r="AR29" s="40" t="s">
        <v>38</v>
      </c>
      <c r="AS29" s="40">
        <v>0.434</v>
      </c>
      <c r="AT29" s="40" t="s">
        <v>38</v>
      </c>
      <c r="AU29" s="40">
        <v>0.38100000000000001</v>
      </c>
      <c r="AV29" s="40" t="s">
        <v>38</v>
      </c>
      <c r="AW29" s="40" t="s">
        <v>38</v>
      </c>
      <c r="AX29" s="40" t="s">
        <v>38</v>
      </c>
      <c r="AY29" s="40">
        <v>0.39</v>
      </c>
      <c r="AZ29" s="40">
        <v>0.32800000000000001</v>
      </c>
      <c r="BA29" s="40">
        <v>0.38</v>
      </c>
      <c r="BB29" s="49">
        <v>0.39150000000000001</v>
      </c>
      <c r="BC29" s="40">
        <v>0.38</v>
      </c>
      <c r="BD29" s="23" t="s">
        <v>38</v>
      </c>
      <c r="BE29" s="50">
        <v>0.4385</v>
      </c>
      <c r="BF29" s="58">
        <v>0.29499999999999998</v>
      </c>
      <c r="BG29" s="40">
        <v>0.47249999999999998</v>
      </c>
      <c r="BH29" s="38" t="s">
        <v>38</v>
      </c>
      <c r="BI29" s="38" t="s">
        <v>38</v>
      </c>
      <c r="BJ29" s="39" t="s">
        <v>38</v>
      </c>
      <c r="BK29" s="38">
        <v>0.40300000000000002</v>
      </c>
      <c r="BL29" s="38">
        <v>0.38350000000000001</v>
      </c>
      <c r="BM29" s="39" t="s">
        <v>38</v>
      </c>
      <c r="BN29" s="39" t="s">
        <v>38</v>
      </c>
      <c r="BO29" s="40" t="s">
        <v>38</v>
      </c>
      <c r="BP29" s="38" t="s">
        <v>38</v>
      </c>
      <c r="BQ29" s="38">
        <v>0.3765</v>
      </c>
      <c r="BR29" s="41">
        <v>0.40150000000000002</v>
      </c>
      <c r="BS29" s="41">
        <v>0.372</v>
      </c>
      <c r="BT29" s="41">
        <v>0.36199999999999999</v>
      </c>
      <c r="BU29" s="42">
        <v>0.3725</v>
      </c>
      <c r="BV29" s="41" t="s">
        <v>38</v>
      </c>
      <c r="BW29" s="42">
        <v>0.40749999999999997</v>
      </c>
      <c r="BX29" s="42">
        <v>0.35050000000000003</v>
      </c>
      <c r="BY29" s="85">
        <f>(0.428+0.414)/2</f>
        <v>0.42099999999999999</v>
      </c>
      <c r="BZ29" s="85">
        <f>(0.448+0.444)/2</f>
        <v>0.44600000000000001</v>
      </c>
      <c r="CA29" s="87">
        <v>0.59699999999999998</v>
      </c>
    </row>
    <row r="30" spans="1:79">
      <c r="A30" s="21" t="s">
        <v>13</v>
      </c>
      <c r="B30" s="82">
        <v>254457.878004</v>
      </c>
      <c r="C30" s="82">
        <v>4505586.0580200003</v>
      </c>
      <c r="D30" s="19">
        <v>0.35749999999999998</v>
      </c>
      <c r="E30" s="20">
        <v>0.38950000000000001</v>
      </c>
      <c r="F30" s="20">
        <v>0.35049999999999998</v>
      </c>
      <c r="G30" s="20">
        <v>0.435</v>
      </c>
      <c r="H30" s="20">
        <v>0.34950000000000003</v>
      </c>
      <c r="I30" s="20">
        <v>0.29549999999999998</v>
      </c>
      <c r="J30" s="20">
        <v>0.246</v>
      </c>
      <c r="K30" s="20">
        <v>0.17100000000000001</v>
      </c>
      <c r="L30" s="20">
        <v>0.26150000000000001</v>
      </c>
      <c r="M30" s="20">
        <v>0.17549999999999999</v>
      </c>
      <c r="N30" s="16">
        <v>0.23149999999999998</v>
      </c>
      <c r="O30" s="16">
        <v>0.19400000000000001</v>
      </c>
      <c r="P30" s="16" t="s">
        <v>38</v>
      </c>
      <c r="Q30" s="16">
        <v>0.29949999999999999</v>
      </c>
      <c r="R30" s="16" t="s">
        <v>38</v>
      </c>
      <c r="S30" s="16" t="s">
        <v>38</v>
      </c>
      <c r="T30" s="24">
        <v>0.38</v>
      </c>
      <c r="U30" s="24">
        <v>0.42199999999999999</v>
      </c>
      <c r="V30" s="24">
        <v>0.53500000000000003</v>
      </c>
      <c r="W30" s="24">
        <v>0.64</v>
      </c>
      <c r="X30" s="24">
        <v>0.41199999999999998</v>
      </c>
      <c r="Y30" s="24" t="s">
        <v>38</v>
      </c>
      <c r="Z30" s="23">
        <v>0.53900000000000003</v>
      </c>
      <c r="AA30" s="24">
        <v>0.61699999999999999</v>
      </c>
      <c r="AB30" s="24">
        <v>0.56000000000000005</v>
      </c>
      <c r="AC30" s="24">
        <v>0.57699999999999996</v>
      </c>
      <c r="AD30" s="24">
        <v>0.42799999999999999</v>
      </c>
      <c r="AE30" s="24" t="s">
        <v>38</v>
      </c>
      <c r="AF30" s="24">
        <v>0.32300000000000001</v>
      </c>
      <c r="AG30" s="24">
        <v>0.29099999999999998</v>
      </c>
      <c r="AH30" s="24">
        <v>0.23</v>
      </c>
      <c r="AI30" s="24">
        <v>0.29099999999999998</v>
      </c>
      <c r="AJ30" s="24" t="s">
        <v>38</v>
      </c>
      <c r="AK30" s="24">
        <v>0.221</v>
      </c>
      <c r="AL30" s="24" t="s">
        <v>38</v>
      </c>
      <c r="AM30" s="24">
        <v>0.63600000000000001</v>
      </c>
      <c r="AN30" s="40">
        <v>0.374</v>
      </c>
      <c r="AO30" s="40" t="s">
        <v>38</v>
      </c>
      <c r="AP30" s="40" t="s">
        <v>38</v>
      </c>
      <c r="AQ30" s="40">
        <v>0.35199999999999998</v>
      </c>
      <c r="AR30" s="40" t="s">
        <v>38</v>
      </c>
      <c r="AS30" s="40">
        <v>0.28100000000000003</v>
      </c>
      <c r="AT30" s="40" t="s">
        <v>38</v>
      </c>
      <c r="AU30" s="40">
        <v>0.26300000000000001</v>
      </c>
      <c r="AV30" s="40" t="s">
        <v>38</v>
      </c>
      <c r="AW30" s="40" t="s">
        <v>38</v>
      </c>
      <c r="AX30" s="40" t="s">
        <v>38</v>
      </c>
      <c r="AY30" s="40">
        <v>0.30099999999999999</v>
      </c>
      <c r="AZ30" s="40">
        <v>0.23599999999999999</v>
      </c>
      <c r="BA30" s="40">
        <v>0.309</v>
      </c>
      <c r="BB30" s="49">
        <v>0.307</v>
      </c>
      <c r="BC30" s="40">
        <v>0.34100000000000003</v>
      </c>
      <c r="BD30" s="23" t="s">
        <v>38</v>
      </c>
      <c r="BE30" s="50">
        <v>0.30049999999999999</v>
      </c>
      <c r="BF30" s="58">
        <v>0.20700000000000002</v>
      </c>
      <c r="BG30" s="40">
        <v>0.49099999999999999</v>
      </c>
      <c r="BH30" s="38" t="s">
        <v>38</v>
      </c>
      <c r="BI30" s="38" t="s">
        <v>38</v>
      </c>
      <c r="BJ30" s="39" t="s">
        <v>38</v>
      </c>
      <c r="BK30" s="38">
        <v>0.42149999999999999</v>
      </c>
      <c r="BL30" s="38">
        <v>0.32600000000000001</v>
      </c>
      <c r="BM30" s="39" t="s">
        <v>38</v>
      </c>
      <c r="BN30" s="39" t="s">
        <v>38</v>
      </c>
      <c r="BO30" s="40" t="s">
        <v>38</v>
      </c>
      <c r="BP30" s="38" t="s">
        <v>38</v>
      </c>
      <c r="BQ30" s="38">
        <v>0.26750000000000002</v>
      </c>
      <c r="BR30" s="41">
        <v>0.307</v>
      </c>
      <c r="BS30" s="41">
        <v>0.248</v>
      </c>
      <c r="BT30" s="41">
        <v>0.2535</v>
      </c>
      <c r="BU30" s="42">
        <v>0.27750000000000002</v>
      </c>
      <c r="BV30" s="41" t="s">
        <v>38</v>
      </c>
      <c r="BW30" s="42">
        <v>0.37</v>
      </c>
      <c r="BX30" s="42" t="s">
        <v>38</v>
      </c>
      <c r="BY30" s="85">
        <f>(0.472+0.475)/2</f>
        <v>0.47349999999999998</v>
      </c>
      <c r="BZ30" s="85">
        <f>(0.448+0.425)/2</f>
        <v>0.4365</v>
      </c>
      <c r="CA30" s="87">
        <v>0.59750000000000003</v>
      </c>
    </row>
    <row r="31" spans="1:79">
      <c r="A31" s="21">
        <v>22</v>
      </c>
      <c r="B31" s="82">
        <v>254501.52615300001</v>
      </c>
      <c r="C31" s="82">
        <v>4505594.6980400002</v>
      </c>
      <c r="D31" s="19" t="s">
        <v>38</v>
      </c>
      <c r="E31" s="20">
        <v>0.35349999999999998</v>
      </c>
      <c r="F31" s="20">
        <v>0.35599999999999998</v>
      </c>
      <c r="G31" s="20">
        <v>0.35749999999999998</v>
      </c>
      <c r="H31" s="20">
        <v>0.34450000000000003</v>
      </c>
      <c r="I31" s="20">
        <v>0.28499999999999998</v>
      </c>
      <c r="J31" s="20">
        <v>0.27900000000000003</v>
      </c>
      <c r="K31" s="20">
        <v>0.21300000000000002</v>
      </c>
      <c r="L31" s="20">
        <v>0.27949999999999997</v>
      </c>
      <c r="M31" s="20">
        <v>0.21049999999999999</v>
      </c>
      <c r="N31" s="16">
        <v>0.25700000000000001</v>
      </c>
      <c r="O31" s="16">
        <v>0.20300000000000001</v>
      </c>
      <c r="P31" s="16">
        <v>0.22449999999999998</v>
      </c>
      <c r="Q31" s="16">
        <v>0.32850000000000001</v>
      </c>
      <c r="R31" s="16">
        <v>0.39900000000000002</v>
      </c>
      <c r="S31" s="16">
        <v>0.31850000000000001</v>
      </c>
      <c r="T31" s="24">
        <v>0.52200000000000002</v>
      </c>
      <c r="U31" s="24">
        <v>0.38100000000000001</v>
      </c>
      <c r="V31" s="24">
        <v>0.4</v>
      </c>
      <c r="W31" s="24">
        <v>0.47399999999999998</v>
      </c>
      <c r="X31" s="24">
        <v>0.36299999999999999</v>
      </c>
      <c r="Y31" s="24">
        <v>0.35199999999999998</v>
      </c>
      <c r="Z31" s="23">
        <v>0.39600000000000002</v>
      </c>
      <c r="AA31" s="24">
        <v>0.41399999999999998</v>
      </c>
      <c r="AB31" s="24">
        <v>0.443</v>
      </c>
      <c r="AC31" s="24">
        <v>0.40400000000000003</v>
      </c>
      <c r="AD31" s="24">
        <v>0.378</v>
      </c>
      <c r="AE31" s="24">
        <v>0.33800000000000002</v>
      </c>
      <c r="AF31" s="24">
        <v>0.32</v>
      </c>
      <c r="AG31" s="24">
        <v>0.33100000000000002</v>
      </c>
      <c r="AH31" s="24">
        <v>0.222</v>
      </c>
      <c r="AI31" s="24">
        <v>0.24</v>
      </c>
      <c r="AJ31" s="24">
        <v>0.28699999999999998</v>
      </c>
      <c r="AK31" s="24">
        <v>0.23899999999999999</v>
      </c>
      <c r="AL31" s="24">
        <v>0.39400000000000002</v>
      </c>
      <c r="AM31" s="24">
        <v>0.38400000000000001</v>
      </c>
      <c r="AN31" s="40">
        <v>0.32500000000000001</v>
      </c>
      <c r="AO31" s="40">
        <v>0.26200000000000001</v>
      </c>
      <c r="AP31" s="40">
        <v>0.29399999999999998</v>
      </c>
      <c r="AQ31" s="40">
        <v>0.33850000000000002</v>
      </c>
      <c r="AR31" s="40">
        <v>0.309</v>
      </c>
      <c r="AS31" s="40">
        <v>0.3</v>
      </c>
      <c r="AT31" s="40">
        <v>0.317</v>
      </c>
      <c r="AU31" s="40">
        <v>0.29499999999999998</v>
      </c>
      <c r="AV31" s="40">
        <v>0.26400000000000001</v>
      </c>
      <c r="AW31" s="40">
        <v>0.23799999999999999</v>
      </c>
      <c r="AX31" s="40" t="s">
        <v>38</v>
      </c>
      <c r="AY31" s="40">
        <v>0.31</v>
      </c>
      <c r="AZ31" s="40">
        <v>0.28999999999999998</v>
      </c>
      <c r="BA31" s="40">
        <v>0.30599999999999999</v>
      </c>
      <c r="BB31" s="49">
        <v>0.2465</v>
      </c>
      <c r="BC31" s="40">
        <v>0.27800000000000002</v>
      </c>
      <c r="BD31" s="23" t="s">
        <v>38</v>
      </c>
      <c r="BE31" s="23" t="s">
        <v>38</v>
      </c>
      <c r="BF31" s="23" t="s">
        <v>38</v>
      </c>
      <c r="BG31" s="40">
        <v>0.33050000000000002</v>
      </c>
      <c r="BH31" s="38">
        <v>0.32300000000000001</v>
      </c>
      <c r="BI31" s="38">
        <v>0.36514999999999997</v>
      </c>
      <c r="BJ31" s="38">
        <v>0.36749999999999999</v>
      </c>
      <c r="BK31" s="38">
        <v>0.35499999999999998</v>
      </c>
      <c r="BL31" s="38">
        <v>0.32050000000000001</v>
      </c>
      <c r="BM31" s="38">
        <v>0.34499999999999997</v>
      </c>
      <c r="BN31" s="39" t="s">
        <v>38</v>
      </c>
      <c r="BO31" s="40">
        <v>0.372</v>
      </c>
      <c r="BP31" s="38">
        <v>0.35549999999999998</v>
      </c>
      <c r="BQ31" s="38">
        <v>0.28349999999999997</v>
      </c>
      <c r="BR31" s="41">
        <v>0.31850000000000001</v>
      </c>
      <c r="BS31" s="41">
        <v>0.29599999999999999</v>
      </c>
      <c r="BT31" s="41">
        <v>0.29349999999999998</v>
      </c>
      <c r="BU31" s="42">
        <v>0.29299999999999998</v>
      </c>
      <c r="BV31" s="41">
        <v>0.28800000000000003</v>
      </c>
      <c r="BW31" s="42">
        <v>0.35499999999999998</v>
      </c>
      <c r="BX31" s="42">
        <v>0.34799999999999998</v>
      </c>
      <c r="BY31" s="85">
        <f>(0.364+0.356)/2</f>
        <v>0.36</v>
      </c>
      <c r="BZ31" s="85">
        <f>(0.341+0.363)/2</f>
        <v>0.35199999999999998</v>
      </c>
      <c r="CA31" s="87">
        <v>0.51700000000000002</v>
      </c>
    </row>
    <row r="32" spans="1:79">
      <c r="A32" s="21">
        <v>23</v>
      </c>
      <c r="B32" s="83">
        <v>254520.12336</v>
      </c>
      <c r="C32" s="83">
        <v>4505551.7588200001</v>
      </c>
      <c r="D32" s="19" t="s">
        <v>38</v>
      </c>
      <c r="E32" s="19" t="s">
        <v>38</v>
      </c>
      <c r="F32" s="19" t="s">
        <v>38</v>
      </c>
      <c r="G32" s="19" t="s">
        <v>38</v>
      </c>
      <c r="H32" s="19" t="s">
        <v>38</v>
      </c>
      <c r="I32" s="19" t="s">
        <v>38</v>
      </c>
      <c r="J32" s="19" t="s">
        <v>38</v>
      </c>
      <c r="K32" s="19" t="s">
        <v>38</v>
      </c>
      <c r="L32" s="19" t="s">
        <v>38</v>
      </c>
      <c r="M32" s="19" t="s">
        <v>38</v>
      </c>
      <c r="N32" s="23" t="s">
        <v>38</v>
      </c>
      <c r="O32" s="23" t="s">
        <v>38</v>
      </c>
      <c r="P32" s="23" t="s">
        <v>38</v>
      </c>
      <c r="Q32" s="23" t="s">
        <v>38</v>
      </c>
      <c r="R32" s="23" t="s">
        <v>38</v>
      </c>
      <c r="S32" s="23" t="s">
        <v>38</v>
      </c>
      <c r="T32" s="23" t="s">
        <v>38</v>
      </c>
      <c r="U32" s="23" t="s">
        <v>38</v>
      </c>
      <c r="V32" s="23" t="s">
        <v>38</v>
      </c>
      <c r="W32" s="23" t="s">
        <v>38</v>
      </c>
      <c r="X32" s="23" t="s">
        <v>38</v>
      </c>
      <c r="Y32" s="23" t="s">
        <v>38</v>
      </c>
      <c r="Z32" s="23" t="s">
        <v>38</v>
      </c>
      <c r="AA32" s="23" t="s">
        <v>38</v>
      </c>
      <c r="AB32" s="23" t="s">
        <v>38</v>
      </c>
      <c r="AC32" s="23" t="s">
        <v>38</v>
      </c>
      <c r="AD32" s="23" t="s">
        <v>38</v>
      </c>
      <c r="AE32" s="23" t="s">
        <v>38</v>
      </c>
      <c r="AF32" s="23" t="s">
        <v>38</v>
      </c>
      <c r="AG32" s="23" t="s">
        <v>38</v>
      </c>
      <c r="AH32" s="23" t="s">
        <v>38</v>
      </c>
      <c r="AI32" s="23" t="s">
        <v>38</v>
      </c>
      <c r="AJ32" s="23" t="s">
        <v>38</v>
      </c>
      <c r="AK32" s="23" t="s">
        <v>38</v>
      </c>
      <c r="AL32" s="23" t="s">
        <v>38</v>
      </c>
      <c r="AM32" s="23" t="s">
        <v>38</v>
      </c>
      <c r="AN32" s="23" t="s">
        <v>38</v>
      </c>
      <c r="AO32" s="23" t="s">
        <v>38</v>
      </c>
      <c r="AP32" s="23" t="s">
        <v>38</v>
      </c>
      <c r="AQ32" s="23" t="s">
        <v>38</v>
      </c>
      <c r="AR32" s="23" t="s">
        <v>38</v>
      </c>
      <c r="AS32" s="23" t="s">
        <v>38</v>
      </c>
      <c r="AT32" s="23" t="s">
        <v>38</v>
      </c>
      <c r="AU32" s="23" t="s">
        <v>38</v>
      </c>
      <c r="AV32" s="23" t="s">
        <v>38</v>
      </c>
      <c r="AW32" s="23" t="s">
        <v>38</v>
      </c>
      <c r="AX32" s="23" t="s">
        <v>38</v>
      </c>
      <c r="AY32" s="23" t="s">
        <v>38</v>
      </c>
      <c r="AZ32" s="23" t="s">
        <v>38</v>
      </c>
      <c r="BA32" s="23" t="s">
        <v>38</v>
      </c>
      <c r="BB32" s="23" t="s">
        <v>38</v>
      </c>
      <c r="BC32" s="23" t="s">
        <v>38</v>
      </c>
      <c r="BD32" s="23" t="s">
        <v>38</v>
      </c>
      <c r="BE32" s="23" t="s">
        <v>38</v>
      </c>
      <c r="BF32" s="23" t="s">
        <v>38</v>
      </c>
      <c r="BG32" s="23" t="s">
        <v>38</v>
      </c>
      <c r="BH32" s="23" t="s">
        <v>38</v>
      </c>
      <c r="BI32" s="23" t="s">
        <v>38</v>
      </c>
      <c r="BJ32" s="23" t="s">
        <v>38</v>
      </c>
      <c r="BK32" s="23" t="s">
        <v>38</v>
      </c>
      <c r="BL32" s="23" t="s">
        <v>38</v>
      </c>
      <c r="BM32" s="23" t="s">
        <v>38</v>
      </c>
      <c r="BN32" s="23" t="s">
        <v>38</v>
      </c>
      <c r="BO32" s="23" t="s">
        <v>38</v>
      </c>
      <c r="BP32" s="23" t="s">
        <v>38</v>
      </c>
      <c r="BQ32" s="23" t="s">
        <v>38</v>
      </c>
      <c r="BR32" s="23" t="s">
        <v>38</v>
      </c>
      <c r="BS32" s="23" t="s">
        <v>38</v>
      </c>
      <c r="BT32" s="23" t="s">
        <v>38</v>
      </c>
      <c r="BU32" s="23" t="s">
        <v>38</v>
      </c>
      <c r="BV32" s="23" t="s">
        <v>38</v>
      </c>
      <c r="BW32" s="23" t="s">
        <v>38</v>
      </c>
      <c r="BX32" s="23" t="s">
        <v>38</v>
      </c>
      <c r="BY32" s="69" t="s">
        <v>38</v>
      </c>
      <c r="BZ32" s="69" t="s">
        <v>38</v>
      </c>
      <c r="CA32" s="86" t="s">
        <v>38</v>
      </c>
    </row>
    <row r="33" spans="1:79">
      <c r="A33" s="21">
        <v>24</v>
      </c>
      <c r="B33" s="83">
        <v>254528.53983200001</v>
      </c>
      <c r="C33" s="83">
        <v>4505511.7527299998</v>
      </c>
      <c r="D33" s="19" t="s">
        <v>38</v>
      </c>
      <c r="E33" s="19" t="s">
        <v>38</v>
      </c>
      <c r="F33" s="19" t="s">
        <v>38</v>
      </c>
      <c r="G33" s="19" t="s">
        <v>38</v>
      </c>
      <c r="H33" s="19" t="s">
        <v>38</v>
      </c>
      <c r="I33" s="19" t="s">
        <v>38</v>
      </c>
      <c r="J33" s="19" t="s">
        <v>38</v>
      </c>
      <c r="K33" s="19" t="s">
        <v>38</v>
      </c>
      <c r="L33" s="19" t="s">
        <v>38</v>
      </c>
      <c r="M33" s="19" t="s">
        <v>38</v>
      </c>
      <c r="N33" s="23" t="s">
        <v>38</v>
      </c>
      <c r="O33" s="23" t="s">
        <v>38</v>
      </c>
      <c r="P33" s="23" t="s">
        <v>38</v>
      </c>
      <c r="Q33" s="23" t="s">
        <v>38</v>
      </c>
      <c r="R33" s="23" t="s">
        <v>38</v>
      </c>
      <c r="S33" s="23" t="s">
        <v>38</v>
      </c>
      <c r="T33" s="23" t="s">
        <v>38</v>
      </c>
      <c r="U33" s="23" t="s">
        <v>38</v>
      </c>
      <c r="V33" s="23" t="s">
        <v>38</v>
      </c>
      <c r="W33" s="23" t="s">
        <v>38</v>
      </c>
      <c r="X33" s="23" t="s">
        <v>38</v>
      </c>
      <c r="Y33" s="23" t="s">
        <v>38</v>
      </c>
      <c r="Z33" s="23" t="s">
        <v>38</v>
      </c>
      <c r="AA33" s="23" t="s">
        <v>38</v>
      </c>
      <c r="AB33" s="23" t="s">
        <v>38</v>
      </c>
      <c r="AC33" s="23" t="s">
        <v>38</v>
      </c>
      <c r="AD33" s="23" t="s">
        <v>38</v>
      </c>
      <c r="AE33" s="23" t="s">
        <v>38</v>
      </c>
      <c r="AF33" s="23" t="s">
        <v>38</v>
      </c>
      <c r="AG33" s="23" t="s">
        <v>38</v>
      </c>
      <c r="AH33" s="23" t="s">
        <v>38</v>
      </c>
      <c r="AI33" s="23" t="s">
        <v>38</v>
      </c>
      <c r="AJ33" s="23" t="s">
        <v>38</v>
      </c>
      <c r="AK33" s="23" t="s">
        <v>38</v>
      </c>
      <c r="AL33" s="23" t="s">
        <v>38</v>
      </c>
      <c r="AM33" s="23" t="s">
        <v>38</v>
      </c>
      <c r="AN33" s="23" t="s">
        <v>38</v>
      </c>
      <c r="AO33" s="23" t="s">
        <v>38</v>
      </c>
      <c r="AP33" s="23" t="s">
        <v>38</v>
      </c>
      <c r="AQ33" s="23" t="s">
        <v>38</v>
      </c>
      <c r="AR33" s="23" t="s">
        <v>38</v>
      </c>
      <c r="AS33" s="23" t="s">
        <v>38</v>
      </c>
      <c r="AT33" s="23" t="s">
        <v>38</v>
      </c>
      <c r="AU33" s="23" t="s">
        <v>38</v>
      </c>
      <c r="AV33" s="23" t="s">
        <v>38</v>
      </c>
      <c r="AW33" s="23" t="s">
        <v>38</v>
      </c>
      <c r="AX33" s="23" t="s">
        <v>38</v>
      </c>
      <c r="AY33" s="23" t="s">
        <v>38</v>
      </c>
      <c r="AZ33" s="23" t="s">
        <v>38</v>
      </c>
      <c r="BA33" s="23" t="s">
        <v>38</v>
      </c>
      <c r="BB33" s="23" t="s">
        <v>38</v>
      </c>
      <c r="BC33" s="23" t="s">
        <v>38</v>
      </c>
      <c r="BD33" s="23" t="s">
        <v>38</v>
      </c>
      <c r="BE33" s="23" t="s">
        <v>38</v>
      </c>
      <c r="BF33" s="23" t="s">
        <v>38</v>
      </c>
      <c r="BG33" s="23" t="s">
        <v>38</v>
      </c>
      <c r="BH33" s="23" t="s">
        <v>38</v>
      </c>
      <c r="BI33" s="23" t="s">
        <v>38</v>
      </c>
      <c r="BJ33" s="23" t="s">
        <v>38</v>
      </c>
      <c r="BK33" s="23" t="s">
        <v>38</v>
      </c>
      <c r="BL33" s="23" t="s">
        <v>38</v>
      </c>
      <c r="BM33" s="23" t="s">
        <v>38</v>
      </c>
      <c r="BN33" s="23" t="s">
        <v>38</v>
      </c>
      <c r="BO33" s="23" t="s">
        <v>38</v>
      </c>
      <c r="BP33" s="23" t="s">
        <v>38</v>
      </c>
      <c r="BQ33" s="23" t="s">
        <v>38</v>
      </c>
      <c r="BR33" s="23" t="s">
        <v>38</v>
      </c>
      <c r="BS33" s="23" t="s">
        <v>38</v>
      </c>
      <c r="BT33" s="23" t="s">
        <v>38</v>
      </c>
      <c r="BU33" s="23" t="s">
        <v>38</v>
      </c>
      <c r="BV33" s="23" t="s">
        <v>38</v>
      </c>
      <c r="BW33" s="23" t="s">
        <v>38</v>
      </c>
      <c r="BX33" s="23" t="s">
        <v>38</v>
      </c>
      <c r="BY33" s="69" t="s">
        <v>38</v>
      </c>
      <c r="BZ33" s="69" t="s">
        <v>38</v>
      </c>
      <c r="CA33" s="86" t="s">
        <v>38</v>
      </c>
    </row>
    <row r="34" spans="1:79">
      <c r="A34" s="21">
        <v>25</v>
      </c>
      <c r="B34" s="83">
        <v>254506.98052099999</v>
      </c>
      <c r="C34" s="83">
        <v>4505562.6568999998</v>
      </c>
      <c r="D34" s="19" t="s">
        <v>38</v>
      </c>
      <c r="E34" s="19" t="s">
        <v>38</v>
      </c>
      <c r="F34" s="19" t="s">
        <v>38</v>
      </c>
      <c r="G34" s="19" t="s">
        <v>38</v>
      </c>
      <c r="H34" s="19" t="s">
        <v>38</v>
      </c>
      <c r="I34" s="19" t="s">
        <v>38</v>
      </c>
      <c r="J34" s="19" t="s">
        <v>38</v>
      </c>
      <c r="K34" s="19" t="s">
        <v>38</v>
      </c>
      <c r="L34" s="19" t="s">
        <v>38</v>
      </c>
      <c r="M34" s="19" t="s">
        <v>38</v>
      </c>
      <c r="N34" s="23" t="s">
        <v>38</v>
      </c>
      <c r="O34" s="23" t="s">
        <v>38</v>
      </c>
      <c r="P34" s="23" t="s">
        <v>38</v>
      </c>
      <c r="Q34" s="23" t="s">
        <v>38</v>
      </c>
      <c r="R34" s="23" t="s">
        <v>38</v>
      </c>
      <c r="S34" s="23" t="s">
        <v>38</v>
      </c>
      <c r="T34" s="23" t="s">
        <v>38</v>
      </c>
      <c r="U34" s="23" t="s">
        <v>38</v>
      </c>
      <c r="V34" s="23" t="s">
        <v>38</v>
      </c>
      <c r="W34" s="23" t="s">
        <v>38</v>
      </c>
      <c r="X34" s="23" t="s">
        <v>38</v>
      </c>
      <c r="Y34" s="23" t="s">
        <v>38</v>
      </c>
      <c r="Z34" s="23" t="s">
        <v>38</v>
      </c>
      <c r="AA34" s="23" t="s">
        <v>38</v>
      </c>
      <c r="AB34" s="23" t="s">
        <v>38</v>
      </c>
      <c r="AC34" s="23" t="s">
        <v>38</v>
      </c>
      <c r="AD34" s="23" t="s">
        <v>38</v>
      </c>
      <c r="AE34" s="23" t="s">
        <v>38</v>
      </c>
      <c r="AF34" s="23" t="s">
        <v>38</v>
      </c>
      <c r="AG34" s="23" t="s">
        <v>38</v>
      </c>
      <c r="AH34" s="23" t="s">
        <v>38</v>
      </c>
      <c r="AI34" s="23" t="s">
        <v>38</v>
      </c>
      <c r="AJ34" s="23" t="s">
        <v>38</v>
      </c>
      <c r="AK34" s="23" t="s">
        <v>38</v>
      </c>
      <c r="AL34" s="23" t="s">
        <v>38</v>
      </c>
      <c r="AM34" s="23" t="s">
        <v>38</v>
      </c>
      <c r="AN34" s="23" t="s">
        <v>38</v>
      </c>
      <c r="AO34" s="23" t="s">
        <v>38</v>
      </c>
      <c r="AP34" s="23" t="s">
        <v>38</v>
      </c>
      <c r="AQ34" s="23" t="s">
        <v>38</v>
      </c>
      <c r="AR34" s="23" t="s">
        <v>38</v>
      </c>
      <c r="AS34" s="23" t="s">
        <v>38</v>
      </c>
      <c r="AT34" s="23" t="s">
        <v>38</v>
      </c>
      <c r="AU34" s="23" t="s">
        <v>38</v>
      </c>
      <c r="AV34" s="23" t="s">
        <v>38</v>
      </c>
      <c r="AW34" s="23" t="s">
        <v>38</v>
      </c>
      <c r="AX34" s="23" t="s">
        <v>38</v>
      </c>
      <c r="AY34" s="23" t="s">
        <v>38</v>
      </c>
      <c r="AZ34" s="23" t="s">
        <v>38</v>
      </c>
      <c r="BA34" s="23" t="s">
        <v>38</v>
      </c>
      <c r="BB34" s="23" t="s">
        <v>38</v>
      </c>
      <c r="BC34" s="23" t="s">
        <v>38</v>
      </c>
      <c r="BD34" s="23" t="s">
        <v>38</v>
      </c>
      <c r="BE34" s="23" t="s">
        <v>38</v>
      </c>
      <c r="BF34" s="23" t="s">
        <v>38</v>
      </c>
      <c r="BG34" s="23" t="s">
        <v>38</v>
      </c>
      <c r="BH34" s="23" t="s">
        <v>38</v>
      </c>
      <c r="BI34" s="23" t="s">
        <v>38</v>
      </c>
      <c r="BJ34" s="23" t="s">
        <v>38</v>
      </c>
      <c r="BK34" s="23" t="s">
        <v>38</v>
      </c>
      <c r="BL34" s="23" t="s">
        <v>38</v>
      </c>
      <c r="BM34" s="23" t="s">
        <v>38</v>
      </c>
      <c r="BN34" s="23" t="s">
        <v>38</v>
      </c>
      <c r="BO34" s="23" t="s">
        <v>38</v>
      </c>
      <c r="BP34" s="23" t="s">
        <v>38</v>
      </c>
      <c r="BQ34" s="23" t="s">
        <v>38</v>
      </c>
      <c r="BR34" s="23" t="s">
        <v>38</v>
      </c>
      <c r="BS34" s="23" t="s">
        <v>38</v>
      </c>
      <c r="BT34" s="23" t="s">
        <v>38</v>
      </c>
      <c r="BU34" s="23" t="s">
        <v>38</v>
      </c>
      <c r="BV34" s="23" t="s">
        <v>38</v>
      </c>
      <c r="BW34" s="23" t="s">
        <v>38</v>
      </c>
      <c r="BX34" s="23" t="s">
        <v>38</v>
      </c>
      <c r="BY34" s="69" t="s">
        <v>38</v>
      </c>
      <c r="BZ34" s="69" t="s">
        <v>38</v>
      </c>
      <c r="CA34" s="86" t="s">
        <v>38</v>
      </c>
    </row>
    <row r="35" spans="1:79">
      <c r="A35" s="21">
        <v>26</v>
      </c>
      <c r="B35" s="83">
        <v>254533.69367800001</v>
      </c>
      <c r="C35" s="83">
        <v>4505540.5411999999</v>
      </c>
      <c r="D35" s="19" t="s">
        <v>38</v>
      </c>
      <c r="E35" s="19" t="s">
        <v>38</v>
      </c>
      <c r="F35" s="19" t="s">
        <v>38</v>
      </c>
      <c r="G35" s="19" t="s">
        <v>38</v>
      </c>
      <c r="H35" s="19" t="s">
        <v>38</v>
      </c>
      <c r="I35" s="19" t="s">
        <v>38</v>
      </c>
      <c r="J35" s="19" t="s">
        <v>38</v>
      </c>
      <c r="K35" s="19" t="s">
        <v>38</v>
      </c>
      <c r="L35" s="19" t="s">
        <v>38</v>
      </c>
      <c r="M35" s="19" t="s">
        <v>38</v>
      </c>
      <c r="N35" s="23" t="s">
        <v>38</v>
      </c>
      <c r="O35" s="23" t="s">
        <v>38</v>
      </c>
      <c r="P35" s="23" t="s">
        <v>38</v>
      </c>
      <c r="Q35" s="23" t="s">
        <v>38</v>
      </c>
      <c r="R35" s="23" t="s">
        <v>38</v>
      </c>
      <c r="S35" s="23" t="s">
        <v>38</v>
      </c>
      <c r="T35" s="23" t="s">
        <v>38</v>
      </c>
      <c r="U35" s="23" t="s">
        <v>38</v>
      </c>
      <c r="V35" s="23" t="s">
        <v>38</v>
      </c>
      <c r="W35" s="23" t="s">
        <v>38</v>
      </c>
      <c r="X35" s="23" t="s">
        <v>38</v>
      </c>
      <c r="Y35" s="23" t="s">
        <v>38</v>
      </c>
      <c r="Z35" s="23" t="s">
        <v>38</v>
      </c>
      <c r="AA35" s="23" t="s">
        <v>38</v>
      </c>
      <c r="AB35" s="23" t="s">
        <v>38</v>
      </c>
      <c r="AC35" s="23" t="s">
        <v>38</v>
      </c>
      <c r="AD35" s="23" t="s">
        <v>38</v>
      </c>
      <c r="AE35" s="23" t="s">
        <v>38</v>
      </c>
      <c r="AF35" s="23" t="s">
        <v>38</v>
      </c>
      <c r="AG35" s="23" t="s">
        <v>38</v>
      </c>
      <c r="AH35" s="23" t="s">
        <v>38</v>
      </c>
      <c r="AI35" s="23" t="s">
        <v>38</v>
      </c>
      <c r="AJ35" s="23" t="s">
        <v>38</v>
      </c>
      <c r="AK35" s="23" t="s">
        <v>38</v>
      </c>
      <c r="AL35" s="23" t="s">
        <v>38</v>
      </c>
      <c r="AM35" s="23" t="s">
        <v>38</v>
      </c>
      <c r="AN35" s="23" t="s">
        <v>38</v>
      </c>
      <c r="AO35" s="23" t="s">
        <v>38</v>
      </c>
      <c r="AP35" s="23" t="s">
        <v>38</v>
      </c>
      <c r="AQ35" s="23" t="s">
        <v>38</v>
      </c>
      <c r="AR35" s="23" t="s">
        <v>38</v>
      </c>
      <c r="AS35" s="23" t="s">
        <v>38</v>
      </c>
      <c r="AT35" s="23" t="s">
        <v>38</v>
      </c>
      <c r="AU35" s="23" t="s">
        <v>38</v>
      </c>
      <c r="AV35" s="23" t="s">
        <v>38</v>
      </c>
      <c r="AW35" s="23" t="s">
        <v>38</v>
      </c>
      <c r="AX35" s="23" t="s">
        <v>38</v>
      </c>
      <c r="AY35" s="23" t="s">
        <v>38</v>
      </c>
      <c r="AZ35" s="23" t="s">
        <v>38</v>
      </c>
      <c r="BA35" s="23" t="s">
        <v>38</v>
      </c>
      <c r="BB35" s="23" t="s">
        <v>38</v>
      </c>
      <c r="BC35" s="23" t="s">
        <v>38</v>
      </c>
      <c r="BD35" s="23" t="s">
        <v>38</v>
      </c>
      <c r="BE35" s="23" t="s">
        <v>38</v>
      </c>
      <c r="BF35" s="23" t="s">
        <v>38</v>
      </c>
      <c r="BG35" s="23" t="s">
        <v>38</v>
      </c>
      <c r="BH35" s="23" t="s">
        <v>38</v>
      </c>
      <c r="BI35" s="23" t="s">
        <v>38</v>
      </c>
      <c r="BJ35" s="23" t="s">
        <v>38</v>
      </c>
      <c r="BK35" s="23" t="s">
        <v>38</v>
      </c>
      <c r="BL35" s="23" t="s">
        <v>38</v>
      </c>
      <c r="BM35" s="23" t="s">
        <v>38</v>
      </c>
      <c r="BN35" s="23" t="s">
        <v>38</v>
      </c>
      <c r="BO35" s="23" t="s">
        <v>38</v>
      </c>
      <c r="BP35" s="23" t="s">
        <v>38</v>
      </c>
      <c r="BQ35" s="23" t="s">
        <v>38</v>
      </c>
      <c r="BR35" s="23" t="s">
        <v>38</v>
      </c>
      <c r="BS35" s="23" t="s">
        <v>38</v>
      </c>
      <c r="BT35" s="23" t="s">
        <v>38</v>
      </c>
      <c r="BU35" s="23" t="s">
        <v>38</v>
      </c>
      <c r="BV35" s="23" t="s">
        <v>38</v>
      </c>
      <c r="BW35" s="23" t="s">
        <v>38</v>
      </c>
      <c r="BX35" s="23" t="s">
        <v>38</v>
      </c>
      <c r="BY35" s="69" t="s">
        <v>38</v>
      </c>
      <c r="BZ35" s="69" t="s">
        <v>38</v>
      </c>
      <c r="CA35" s="86" t="s">
        <v>38</v>
      </c>
    </row>
    <row r="36" spans="1:79">
      <c r="A36" s="21">
        <v>27</v>
      </c>
      <c r="B36" s="82">
        <v>254513.240017</v>
      </c>
      <c r="C36" s="82">
        <v>4505597.2084600003</v>
      </c>
      <c r="D36" s="19" t="s">
        <v>38</v>
      </c>
      <c r="E36" s="20">
        <v>0.46500000000000002</v>
      </c>
      <c r="F36" s="20">
        <v>0.4</v>
      </c>
      <c r="G36" s="20">
        <v>0.45450000000000002</v>
      </c>
      <c r="H36" s="20">
        <v>0.375</v>
      </c>
      <c r="I36" s="20">
        <v>0.1255</v>
      </c>
      <c r="J36" s="20">
        <v>0.10299999999999999</v>
      </c>
      <c r="K36" s="20">
        <v>0.10400000000000001</v>
      </c>
      <c r="L36" s="20">
        <v>8.7499999999999994E-2</v>
      </c>
      <c r="M36" s="20">
        <v>6.2E-2</v>
      </c>
      <c r="N36" s="16">
        <v>6.3500000000000001E-2</v>
      </c>
      <c r="O36" s="16">
        <v>7.4999999999999997E-2</v>
      </c>
      <c r="P36" s="16">
        <v>5.45E-2</v>
      </c>
      <c r="Q36" s="16">
        <v>0.14749999999999999</v>
      </c>
      <c r="R36" s="16">
        <v>0.16400000000000001</v>
      </c>
      <c r="S36" s="16">
        <v>0.21199999999999999</v>
      </c>
      <c r="T36" s="24">
        <v>0.47099999999999997</v>
      </c>
      <c r="U36" s="24">
        <v>0.372</v>
      </c>
      <c r="V36" s="24">
        <v>0.95299999999999996</v>
      </c>
      <c r="W36" s="24">
        <v>0.84699999999999998</v>
      </c>
      <c r="X36" s="24">
        <v>0.28299999999999997</v>
      </c>
      <c r="Y36" s="24" t="s">
        <v>38</v>
      </c>
      <c r="Z36" s="23" t="s">
        <v>38</v>
      </c>
      <c r="AA36" s="24" t="s">
        <v>38</v>
      </c>
      <c r="AB36" s="24" t="s">
        <v>38</v>
      </c>
      <c r="AC36" s="24">
        <v>0.51400000000000001</v>
      </c>
      <c r="AD36" s="24">
        <v>0.23</v>
      </c>
      <c r="AE36" s="24">
        <v>0.249</v>
      </c>
      <c r="AF36" s="24">
        <v>0.26900000000000002</v>
      </c>
      <c r="AG36" s="24">
        <v>0.30599999999999999</v>
      </c>
      <c r="AH36" s="24">
        <v>0.186</v>
      </c>
      <c r="AI36" s="24">
        <v>0.22700000000000001</v>
      </c>
      <c r="AJ36" s="24">
        <v>0.19900000000000001</v>
      </c>
      <c r="AK36" s="24">
        <v>0.20399999999999999</v>
      </c>
      <c r="AL36" s="24">
        <v>0.77</v>
      </c>
      <c r="AM36" s="24">
        <v>0.77900000000000003</v>
      </c>
      <c r="AN36" s="40">
        <v>0.56399999999999995</v>
      </c>
      <c r="AO36" s="40">
        <v>0.36299999999999999</v>
      </c>
      <c r="AP36" s="40">
        <v>0.246</v>
      </c>
      <c r="AQ36" s="40">
        <v>0.13700000000000001</v>
      </c>
      <c r="AR36" s="40">
        <v>0.14099999999999999</v>
      </c>
      <c r="AS36" s="40">
        <v>0.125</v>
      </c>
      <c r="AT36" s="40">
        <v>0.11899999999999999</v>
      </c>
      <c r="AU36" s="40">
        <v>0.122</v>
      </c>
      <c r="AV36" s="40">
        <v>0.13100000000000001</v>
      </c>
      <c r="AW36" s="40">
        <v>7.8E-2</v>
      </c>
      <c r="AX36" s="40">
        <v>0.12</v>
      </c>
      <c r="AY36" s="40">
        <v>0.52800000000000002</v>
      </c>
      <c r="AZ36" s="40">
        <v>0.17699999999999999</v>
      </c>
      <c r="BA36" s="40">
        <v>0.32100000000000001</v>
      </c>
      <c r="BB36" s="49">
        <v>9.4E-2</v>
      </c>
      <c r="BC36" s="40">
        <v>0.1905</v>
      </c>
      <c r="BD36" s="23" t="s">
        <v>38</v>
      </c>
      <c r="BE36" s="23" t="s">
        <v>38</v>
      </c>
      <c r="BF36" s="23" t="s">
        <v>38</v>
      </c>
      <c r="BG36" s="40">
        <v>0.59399999999999997</v>
      </c>
      <c r="BH36" s="38">
        <v>0.39850000000000002</v>
      </c>
      <c r="BI36" s="38">
        <v>0.4365</v>
      </c>
      <c r="BJ36" s="38">
        <v>0.49099999999999999</v>
      </c>
      <c r="BK36" s="38">
        <v>0.46750000000000003</v>
      </c>
      <c r="BL36" s="38">
        <v>7.0500000000000007E-2</v>
      </c>
      <c r="BM36" s="38">
        <v>9.7500000000000003E-2</v>
      </c>
      <c r="BN36" s="23" t="s">
        <v>38</v>
      </c>
      <c r="BO36" s="40">
        <v>0.60199999999999998</v>
      </c>
      <c r="BP36" s="38">
        <v>0.2555</v>
      </c>
      <c r="BQ36" s="38">
        <v>0.13400000000000001</v>
      </c>
      <c r="BR36" s="41">
        <v>0.18099999999999999</v>
      </c>
      <c r="BS36" s="41">
        <v>0.10299999999999999</v>
      </c>
      <c r="BT36" s="41">
        <v>3.7499999999999999E-2</v>
      </c>
      <c r="BU36" s="42">
        <v>0.12</v>
      </c>
      <c r="BV36" s="41">
        <v>0.17149999999999999</v>
      </c>
      <c r="BW36" s="42">
        <v>0.11749999999999999</v>
      </c>
      <c r="BX36" s="42">
        <v>0.191</v>
      </c>
      <c r="BY36" s="85">
        <f>(0.528+0.501)/2</f>
        <v>0.51449999999999996</v>
      </c>
      <c r="BZ36" s="85">
        <f>(0.417+0.427)/2</f>
        <v>0.42199999999999999</v>
      </c>
      <c r="CA36" s="87">
        <v>0.62949999999999995</v>
      </c>
    </row>
    <row r="37" spans="1:79">
      <c r="A37" s="21">
        <v>28</v>
      </c>
      <c r="B37" s="82">
        <v>254529.46167600001</v>
      </c>
      <c r="C37" s="82">
        <v>4505586.2259</v>
      </c>
      <c r="D37" s="19" t="s">
        <v>38</v>
      </c>
      <c r="E37" s="20">
        <v>0.28349999999999997</v>
      </c>
      <c r="F37" s="20">
        <v>0.28899999999999998</v>
      </c>
      <c r="G37" s="20">
        <v>0.27449999999999997</v>
      </c>
      <c r="H37" s="20">
        <v>0.26050000000000001</v>
      </c>
      <c r="I37" s="20">
        <v>0.23599999999999999</v>
      </c>
      <c r="J37" s="20">
        <v>0.20200000000000001</v>
      </c>
      <c r="K37" s="20">
        <v>0.1305</v>
      </c>
      <c r="L37" s="20">
        <v>0.1605</v>
      </c>
      <c r="M37" s="20">
        <v>0.111</v>
      </c>
      <c r="N37" s="16">
        <v>0.17849999999999999</v>
      </c>
      <c r="O37" s="16">
        <v>0.124</v>
      </c>
      <c r="P37" s="16">
        <v>0.1255</v>
      </c>
      <c r="Q37" s="16">
        <v>0.21049999999999999</v>
      </c>
      <c r="R37" s="23" t="s">
        <v>38</v>
      </c>
      <c r="S37" s="16">
        <v>0.20899999999999999</v>
      </c>
      <c r="T37" s="24">
        <v>0.311</v>
      </c>
      <c r="U37" s="24">
        <v>0.29599999999999999</v>
      </c>
      <c r="V37" s="24">
        <v>0.29699999999999999</v>
      </c>
      <c r="W37" s="24">
        <v>0.34699999999999998</v>
      </c>
      <c r="X37" s="24">
        <v>0.30599999999999999</v>
      </c>
      <c r="Y37" s="24">
        <v>0.33300000000000002</v>
      </c>
      <c r="Z37" s="23">
        <v>0.28000000000000003</v>
      </c>
      <c r="AA37" s="24">
        <v>0.33</v>
      </c>
      <c r="AB37" s="24">
        <v>0.30299999999999999</v>
      </c>
      <c r="AC37" s="24">
        <v>0.30499999999999999</v>
      </c>
      <c r="AD37" s="24">
        <v>0.33100000000000002</v>
      </c>
      <c r="AE37" s="24">
        <v>0.28999999999999998</v>
      </c>
      <c r="AF37" s="24">
        <v>0.193</v>
      </c>
      <c r="AG37" s="24">
        <v>0.21199999999999999</v>
      </c>
      <c r="AH37" s="24">
        <v>0.11799999999999999</v>
      </c>
      <c r="AI37" s="24">
        <v>0.20200000000000001</v>
      </c>
      <c r="AJ37" s="24">
        <v>0.16700000000000001</v>
      </c>
      <c r="AK37" s="24">
        <v>0.14899999999999999</v>
      </c>
      <c r="AL37" s="24">
        <v>0.33800000000000002</v>
      </c>
      <c r="AM37" s="24">
        <v>0.26400000000000001</v>
      </c>
      <c r="AN37" s="40">
        <v>0.26700000000000002</v>
      </c>
      <c r="AO37" s="40">
        <v>0.219</v>
      </c>
      <c r="AP37" s="40">
        <v>0.28000000000000003</v>
      </c>
      <c r="AQ37" s="40">
        <v>0.26100000000000001</v>
      </c>
      <c r="AR37" s="40">
        <v>0.26800000000000002</v>
      </c>
      <c r="AS37" s="40">
        <v>0.23599999999999999</v>
      </c>
      <c r="AT37" s="40">
        <v>0.23100000000000001</v>
      </c>
      <c r="AU37" s="40">
        <v>0.193</v>
      </c>
      <c r="AV37" s="40">
        <v>0.16800000000000001</v>
      </c>
      <c r="AW37" s="40">
        <v>0.15</v>
      </c>
      <c r="AX37" s="40">
        <v>0.129</v>
      </c>
      <c r="AY37" s="40">
        <v>0.248</v>
      </c>
      <c r="AZ37" s="40">
        <v>0.20799999999999999</v>
      </c>
      <c r="BA37" s="40">
        <v>0.219</v>
      </c>
      <c r="BB37" s="49">
        <v>0.1845</v>
      </c>
      <c r="BC37" s="40">
        <v>0.19450000000000001</v>
      </c>
      <c r="BD37" s="23" t="s">
        <v>38</v>
      </c>
      <c r="BE37" s="23" t="s">
        <v>38</v>
      </c>
      <c r="BF37" s="23" t="s">
        <v>38</v>
      </c>
      <c r="BG37" s="40">
        <v>0.27700000000000002</v>
      </c>
      <c r="BH37" s="38">
        <v>0.252</v>
      </c>
      <c r="BI37" s="38">
        <v>0.27049999999999996</v>
      </c>
      <c r="BJ37" s="38">
        <v>0.27949999999999997</v>
      </c>
      <c r="BK37" s="38">
        <v>0.23849999999999999</v>
      </c>
      <c r="BL37" s="38">
        <v>0.27150000000000002</v>
      </c>
      <c r="BM37" s="38">
        <v>0.27650000000000002</v>
      </c>
      <c r="BN37" s="23" t="s">
        <v>38</v>
      </c>
      <c r="BO37" s="40">
        <v>0.30599999999999999</v>
      </c>
      <c r="BP37" s="38">
        <v>0.29699999999999999</v>
      </c>
      <c r="BQ37" s="38">
        <v>0.22750000000000001</v>
      </c>
      <c r="BR37" s="41">
        <v>0.223</v>
      </c>
      <c r="BS37" s="41">
        <v>0.22600000000000001</v>
      </c>
      <c r="BT37" s="41">
        <v>0.21099999999999999</v>
      </c>
      <c r="BU37" s="42">
        <v>0.20800000000000002</v>
      </c>
      <c r="BV37" s="41">
        <v>0.19900000000000001</v>
      </c>
      <c r="BW37" s="42">
        <v>0.247</v>
      </c>
      <c r="BX37" s="42">
        <v>0.27650000000000002</v>
      </c>
      <c r="BY37" s="85">
        <f>(0.28+0.316)/2</f>
        <v>0.29800000000000004</v>
      </c>
      <c r="BZ37" s="85">
        <f>(0.248+0.251)/2</f>
        <v>0.2495</v>
      </c>
      <c r="CA37" s="87">
        <v>0.38900000000000001</v>
      </c>
    </row>
    <row r="38" spans="1:79">
      <c r="A38" s="21">
        <v>29</v>
      </c>
      <c r="B38" s="82">
        <v>254562.056644</v>
      </c>
      <c r="C38" s="82">
        <v>4505556.1068799999</v>
      </c>
      <c r="D38" s="19" t="s">
        <v>38</v>
      </c>
      <c r="E38" s="20">
        <v>0.28849999999999998</v>
      </c>
      <c r="F38" s="20">
        <v>0.28999999999999998</v>
      </c>
      <c r="G38" s="20">
        <v>0.30599999999999999</v>
      </c>
      <c r="H38" s="20">
        <v>0.28100000000000003</v>
      </c>
      <c r="I38" s="20">
        <v>0.24</v>
      </c>
      <c r="J38" s="20">
        <v>0.20350000000000001</v>
      </c>
      <c r="K38" s="20">
        <v>0.13500000000000001</v>
      </c>
      <c r="L38" s="20">
        <v>0.20400000000000001</v>
      </c>
      <c r="M38" s="20">
        <v>0.1105</v>
      </c>
      <c r="N38" s="16">
        <v>0.1865</v>
      </c>
      <c r="O38" s="16">
        <v>0.13</v>
      </c>
      <c r="P38" s="16">
        <v>0.14150000000000001</v>
      </c>
      <c r="Q38" s="16">
        <v>0.23899999999999999</v>
      </c>
      <c r="R38" s="16">
        <v>0.25700000000000001</v>
      </c>
      <c r="S38" s="16">
        <v>0.2455</v>
      </c>
      <c r="T38" s="24">
        <v>0.22</v>
      </c>
      <c r="U38" s="24">
        <v>0.32800000000000001</v>
      </c>
      <c r="V38" s="24">
        <v>0.32100000000000001</v>
      </c>
      <c r="W38" s="24">
        <v>0.35199999999999998</v>
      </c>
      <c r="X38" s="24">
        <v>0.307</v>
      </c>
      <c r="Y38" s="24">
        <v>0.308</v>
      </c>
      <c r="Z38" s="23">
        <v>0.318</v>
      </c>
      <c r="AA38" s="24">
        <v>0.31900000000000001</v>
      </c>
      <c r="AB38" s="24">
        <v>0.33400000000000002</v>
      </c>
      <c r="AC38" s="24">
        <v>0.33600000000000002</v>
      </c>
      <c r="AD38" s="24">
        <v>0.34100000000000003</v>
      </c>
      <c r="AE38" s="24">
        <v>0.27200000000000002</v>
      </c>
      <c r="AF38" s="24">
        <v>0.216</v>
      </c>
      <c r="AG38" s="24">
        <v>0.221</v>
      </c>
      <c r="AH38" s="24">
        <v>0.13</v>
      </c>
      <c r="AI38" s="24">
        <v>0.17699999999999999</v>
      </c>
      <c r="AJ38" s="24">
        <v>0.16500000000000001</v>
      </c>
      <c r="AK38" s="24">
        <v>0.157</v>
      </c>
      <c r="AL38" s="24">
        <v>0.38</v>
      </c>
      <c r="AM38" s="24">
        <v>0.29299999999999998</v>
      </c>
      <c r="AN38" s="40">
        <v>0.29399999999999998</v>
      </c>
      <c r="AO38" s="40">
        <v>0.221</v>
      </c>
      <c r="AP38" s="40">
        <v>0.26600000000000001</v>
      </c>
      <c r="AQ38" s="40">
        <v>0.26100000000000001</v>
      </c>
      <c r="AR38" s="40">
        <v>0.253</v>
      </c>
      <c r="AS38" s="40">
        <v>0.25900000000000001</v>
      </c>
      <c r="AT38" s="40">
        <v>0.26</v>
      </c>
      <c r="AU38" s="40">
        <v>0.189</v>
      </c>
      <c r="AV38" s="40">
        <v>0.19</v>
      </c>
      <c r="AW38" s="40">
        <v>0.158</v>
      </c>
      <c r="AX38" s="40">
        <v>0.14699999999999999</v>
      </c>
      <c r="AY38" s="40">
        <v>0.245</v>
      </c>
      <c r="AZ38" s="40">
        <v>0.24</v>
      </c>
      <c r="BA38" s="40">
        <v>0.252</v>
      </c>
      <c r="BB38" s="49">
        <v>0.20350000000000001</v>
      </c>
      <c r="BC38" s="40">
        <v>0.22500000000000001</v>
      </c>
      <c r="BD38" s="23" t="s">
        <v>38</v>
      </c>
      <c r="BE38" s="23" t="s">
        <v>38</v>
      </c>
      <c r="BF38" s="23" t="s">
        <v>38</v>
      </c>
      <c r="BG38" s="40">
        <v>0.30349999999999999</v>
      </c>
      <c r="BH38" s="38">
        <v>0.26250000000000001</v>
      </c>
      <c r="BI38" s="38">
        <v>0.28000000000000003</v>
      </c>
      <c r="BJ38" s="38">
        <v>0.27600000000000002</v>
      </c>
      <c r="BK38" s="38">
        <v>0.27450000000000002</v>
      </c>
      <c r="BL38" s="38">
        <v>0.27600000000000002</v>
      </c>
      <c r="BM38" s="38">
        <v>0.315</v>
      </c>
      <c r="BN38" s="23" t="s">
        <v>38</v>
      </c>
      <c r="BO38" s="40">
        <v>0.3075</v>
      </c>
      <c r="BP38" s="38">
        <v>0.30599999999999999</v>
      </c>
      <c r="BQ38" s="38">
        <v>0.22650000000000001</v>
      </c>
      <c r="BR38" s="41">
        <v>0.2495</v>
      </c>
      <c r="BS38" s="41" t="s">
        <v>38</v>
      </c>
      <c r="BT38" s="41">
        <v>0.21099999999999999</v>
      </c>
      <c r="BU38" s="42">
        <v>0.22950000000000001</v>
      </c>
      <c r="BV38" s="41">
        <v>0.21099999999999999</v>
      </c>
      <c r="BW38" s="42">
        <v>0.26900000000000002</v>
      </c>
      <c r="BX38" s="42">
        <v>0.28200000000000003</v>
      </c>
      <c r="BY38" s="85">
        <f>(0.324+0.328)/2</f>
        <v>0.32600000000000001</v>
      </c>
      <c r="BZ38" s="85">
        <f>(0.252+0.251)/2</f>
        <v>0.2515</v>
      </c>
      <c r="CA38" s="87">
        <v>0.41249999999999998</v>
      </c>
    </row>
    <row r="39" spans="1:79">
      <c r="A39" s="21">
        <v>30</v>
      </c>
      <c r="B39" s="82">
        <v>254600.96687999999</v>
      </c>
      <c r="C39" s="82">
        <v>4505520.1160399998</v>
      </c>
      <c r="D39" s="19" t="s">
        <v>38</v>
      </c>
      <c r="E39" s="19" t="s">
        <v>38</v>
      </c>
      <c r="F39" s="19" t="s">
        <v>38</v>
      </c>
      <c r="G39" s="19" t="s">
        <v>38</v>
      </c>
      <c r="H39" s="19" t="s">
        <v>38</v>
      </c>
      <c r="I39" s="19" t="s">
        <v>38</v>
      </c>
      <c r="J39" s="19" t="s">
        <v>38</v>
      </c>
      <c r="K39" s="19" t="s">
        <v>38</v>
      </c>
      <c r="L39" s="19" t="s">
        <v>38</v>
      </c>
      <c r="M39" s="19" t="s">
        <v>38</v>
      </c>
      <c r="N39" s="23" t="s">
        <v>38</v>
      </c>
      <c r="O39" s="23" t="s">
        <v>38</v>
      </c>
      <c r="P39" s="23" t="s">
        <v>38</v>
      </c>
      <c r="Q39" s="23" t="s">
        <v>38</v>
      </c>
      <c r="R39" s="23" t="s">
        <v>38</v>
      </c>
      <c r="S39" s="23" t="s">
        <v>38</v>
      </c>
      <c r="T39" s="23" t="s">
        <v>38</v>
      </c>
      <c r="U39" s="23" t="s">
        <v>38</v>
      </c>
      <c r="V39" s="23" t="s">
        <v>38</v>
      </c>
      <c r="W39" s="23" t="s">
        <v>38</v>
      </c>
      <c r="X39" s="23" t="s">
        <v>38</v>
      </c>
      <c r="Y39" s="23" t="s">
        <v>38</v>
      </c>
      <c r="Z39" s="23" t="s">
        <v>38</v>
      </c>
      <c r="AA39" s="23" t="s">
        <v>38</v>
      </c>
      <c r="AB39" s="23" t="s">
        <v>38</v>
      </c>
      <c r="AC39" s="23" t="s">
        <v>38</v>
      </c>
      <c r="AD39" s="23" t="s">
        <v>38</v>
      </c>
      <c r="AE39" s="23" t="s">
        <v>38</v>
      </c>
      <c r="AF39" s="23" t="s">
        <v>38</v>
      </c>
      <c r="AG39" s="23" t="s">
        <v>38</v>
      </c>
      <c r="AH39" s="23" t="s">
        <v>38</v>
      </c>
      <c r="AI39" s="23" t="s">
        <v>38</v>
      </c>
      <c r="AJ39" s="23" t="s">
        <v>38</v>
      </c>
      <c r="AK39" s="23" t="s">
        <v>38</v>
      </c>
      <c r="AL39" s="23" t="s">
        <v>38</v>
      </c>
      <c r="AM39" s="23" t="s">
        <v>38</v>
      </c>
      <c r="AN39" s="23" t="s">
        <v>38</v>
      </c>
      <c r="AO39" s="23" t="s">
        <v>38</v>
      </c>
      <c r="AP39" s="23" t="s">
        <v>38</v>
      </c>
      <c r="AQ39" s="23" t="s">
        <v>38</v>
      </c>
      <c r="AR39" s="23" t="s">
        <v>38</v>
      </c>
      <c r="AS39" s="23" t="s">
        <v>38</v>
      </c>
      <c r="AT39" s="23" t="s">
        <v>38</v>
      </c>
      <c r="AU39" s="23" t="s">
        <v>38</v>
      </c>
      <c r="AV39" s="23" t="s">
        <v>38</v>
      </c>
      <c r="AW39" s="23" t="s">
        <v>38</v>
      </c>
      <c r="AX39" s="23" t="s">
        <v>38</v>
      </c>
      <c r="AY39" s="23" t="s">
        <v>38</v>
      </c>
      <c r="AZ39" s="23" t="s">
        <v>38</v>
      </c>
      <c r="BA39" s="23" t="s">
        <v>38</v>
      </c>
      <c r="BB39" s="23" t="s">
        <v>38</v>
      </c>
      <c r="BC39" s="23" t="s">
        <v>38</v>
      </c>
      <c r="BD39" s="23" t="s">
        <v>38</v>
      </c>
      <c r="BE39" s="23" t="s">
        <v>38</v>
      </c>
      <c r="BF39" s="23" t="s">
        <v>38</v>
      </c>
      <c r="BG39" s="23" t="s">
        <v>38</v>
      </c>
      <c r="BH39" s="23" t="s">
        <v>38</v>
      </c>
      <c r="BI39" s="23" t="s">
        <v>38</v>
      </c>
      <c r="BJ39" s="23" t="s">
        <v>38</v>
      </c>
      <c r="BK39" s="23" t="s">
        <v>38</v>
      </c>
      <c r="BL39" s="23" t="s">
        <v>38</v>
      </c>
      <c r="BM39" s="23" t="s">
        <v>38</v>
      </c>
      <c r="BN39" s="23" t="s">
        <v>38</v>
      </c>
      <c r="BO39" s="23" t="s">
        <v>38</v>
      </c>
      <c r="BP39" s="23" t="s">
        <v>38</v>
      </c>
      <c r="BQ39" s="23" t="s">
        <v>38</v>
      </c>
      <c r="BR39" s="23" t="s">
        <v>38</v>
      </c>
      <c r="BS39" s="23" t="s">
        <v>38</v>
      </c>
      <c r="BT39" s="23" t="s">
        <v>38</v>
      </c>
      <c r="BU39" s="23" t="s">
        <v>38</v>
      </c>
      <c r="BV39" s="23" t="s">
        <v>38</v>
      </c>
      <c r="BW39" s="23" t="s">
        <v>38</v>
      </c>
      <c r="BX39" s="23" t="s">
        <v>38</v>
      </c>
      <c r="BY39" s="69" t="s">
        <v>38</v>
      </c>
      <c r="BZ39" s="69" t="s">
        <v>38</v>
      </c>
      <c r="CA39" s="86" t="s">
        <v>38</v>
      </c>
    </row>
    <row r="40" spans="1:79">
      <c r="A40" s="21">
        <v>31</v>
      </c>
      <c r="B40" s="82">
        <v>254602.038967</v>
      </c>
      <c r="C40" s="82">
        <v>4505614.9486699998</v>
      </c>
      <c r="D40" s="19" t="s">
        <v>38</v>
      </c>
      <c r="E40" s="20">
        <v>0.14099999999999999</v>
      </c>
      <c r="F40" s="20">
        <v>0.14149999999999999</v>
      </c>
      <c r="G40" s="20">
        <v>0.13650000000000001</v>
      </c>
      <c r="H40" s="20">
        <v>0.14300000000000002</v>
      </c>
      <c r="I40" s="20">
        <v>0.10350000000000001</v>
      </c>
      <c r="J40" s="20">
        <v>0.10100000000000001</v>
      </c>
      <c r="K40" s="20">
        <v>6.6500000000000004E-2</v>
      </c>
      <c r="L40" s="20">
        <v>0.10350000000000001</v>
      </c>
      <c r="M40" s="20">
        <v>5.6000000000000001E-2</v>
      </c>
      <c r="N40" s="16">
        <v>9.5500000000000002E-2</v>
      </c>
      <c r="O40" s="16">
        <v>7.9500000000000001E-2</v>
      </c>
      <c r="P40" s="16">
        <v>9.5500000000000002E-2</v>
      </c>
      <c r="Q40" s="16">
        <v>0.1</v>
      </c>
      <c r="R40" s="16">
        <v>0.1105</v>
      </c>
      <c r="S40" s="16">
        <v>0.11749999999999999</v>
      </c>
      <c r="T40" s="24">
        <v>0.20399999999999999</v>
      </c>
      <c r="U40" s="24">
        <v>0.11700000000000001</v>
      </c>
      <c r="V40" s="24">
        <v>0.11899999999999999</v>
      </c>
      <c r="W40" s="24">
        <v>0.106</v>
      </c>
      <c r="X40" s="24">
        <v>0.104</v>
      </c>
      <c r="Y40" s="24">
        <v>8.8999999999999996E-2</v>
      </c>
      <c r="Z40" s="23">
        <v>0.114</v>
      </c>
      <c r="AA40" s="24">
        <v>0.115</v>
      </c>
      <c r="AB40" s="24">
        <v>0.128</v>
      </c>
      <c r="AC40" s="24">
        <v>0.11600000000000001</v>
      </c>
      <c r="AD40" s="24">
        <v>0.12</v>
      </c>
      <c r="AE40" s="24">
        <v>0.114</v>
      </c>
      <c r="AF40" s="24">
        <v>9.5000000000000001E-2</v>
      </c>
      <c r="AG40" s="24">
        <v>0.11799999999999999</v>
      </c>
      <c r="AH40" s="24">
        <v>8.5999999999999993E-2</v>
      </c>
      <c r="AI40" s="24">
        <v>0.10299999999999999</v>
      </c>
      <c r="AJ40" s="24">
        <v>7.5999999999999998E-2</v>
      </c>
      <c r="AK40" s="24">
        <v>6.5000000000000002E-2</v>
      </c>
      <c r="AL40" s="24">
        <v>0.13500000000000001</v>
      </c>
      <c r="AM40" s="24">
        <v>0.129</v>
      </c>
      <c r="AN40" s="40">
        <v>0.105</v>
      </c>
      <c r="AO40" s="40">
        <v>6.9000000000000006E-2</v>
      </c>
      <c r="AP40" s="40">
        <v>9.9000000000000005E-2</v>
      </c>
      <c r="AQ40" s="40">
        <v>0.1145</v>
      </c>
      <c r="AR40" s="40">
        <v>9.7000000000000003E-2</v>
      </c>
      <c r="AS40" s="40">
        <v>9.7000000000000003E-2</v>
      </c>
      <c r="AT40" s="40">
        <v>0.10299999999999999</v>
      </c>
      <c r="AU40" s="40">
        <v>8.5000000000000006E-2</v>
      </c>
      <c r="AV40" s="40">
        <v>9.5000000000000001E-2</v>
      </c>
      <c r="AW40" s="40">
        <v>7.3999999999999996E-2</v>
      </c>
      <c r="AX40" s="40">
        <v>6.6000000000000003E-2</v>
      </c>
      <c r="AY40" s="40">
        <v>9.9000000000000005E-2</v>
      </c>
      <c r="AZ40" s="40">
        <v>9.4E-2</v>
      </c>
      <c r="BA40" s="40">
        <v>0.10199999999999999</v>
      </c>
      <c r="BB40" s="49">
        <v>5.2000000000000005E-2</v>
      </c>
      <c r="BC40" s="40">
        <v>0.105</v>
      </c>
      <c r="BD40" s="23" t="s">
        <v>38</v>
      </c>
      <c r="BE40" s="23" t="s">
        <v>38</v>
      </c>
      <c r="BF40" s="23" t="s">
        <v>38</v>
      </c>
      <c r="BG40" s="40">
        <v>0.13750000000000001</v>
      </c>
      <c r="BH40" s="38">
        <v>0.11299999999999999</v>
      </c>
      <c r="BI40" s="38">
        <v>0.14050000000000001</v>
      </c>
      <c r="BJ40" s="38">
        <v>0.13550000000000001</v>
      </c>
      <c r="BK40" s="38">
        <v>0.1125</v>
      </c>
      <c r="BL40" s="38">
        <v>0.10150000000000001</v>
      </c>
      <c r="BM40" s="38">
        <v>0.1205</v>
      </c>
      <c r="BN40" s="23" t="s">
        <v>38</v>
      </c>
      <c r="BO40" s="40">
        <v>0.11550000000000001</v>
      </c>
      <c r="BP40" s="38">
        <v>0.1135</v>
      </c>
      <c r="BQ40" s="38">
        <v>0.10400000000000001</v>
      </c>
      <c r="BR40" s="41">
        <v>0.11799999999999999</v>
      </c>
      <c r="BS40" s="41">
        <v>9.1999999999999998E-2</v>
      </c>
      <c r="BT40" s="41">
        <v>9.6000000000000002E-2</v>
      </c>
      <c r="BU40" s="42">
        <v>0.1065</v>
      </c>
      <c r="BV40" s="56">
        <v>0.11700000000000001</v>
      </c>
      <c r="BW40" s="42">
        <v>0.1275</v>
      </c>
      <c r="BX40" s="42">
        <v>0.109</v>
      </c>
      <c r="BY40" s="69" t="s">
        <v>38</v>
      </c>
      <c r="BZ40" s="61" t="s">
        <v>38</v>
      </c>
      <c r="CA40" s="87" t="s">
        <v>38</v>
      </c>
    </row>
    <row r="41" spans="1:79">
      <c r="A41" s="21">
        <v>32</v>
      </c>
      <c r="B41" s="82">
        <v>254615.14761499999</v>
      </c>
      <c r="C41" s="82">
        <v>4505653.1930400003</v>
      </c>
      <c r="D41" s="19">
        <v>0.30199999999999999</v>
      </c>
      <c r="E41" s="20">
        <v>0.2515</v>
      </c>
      <c r="F41" s="20">
        <v>0.26100000000000001</v>
      </c>
      <c r="G41" s="20">
        <v>0.27449999999999997</v>
      </c>
      <c r="H41" s="20">
        <v>0.26450000000000001</v>
      </c>
      <c r="I41" s="20">
        <v>0.23649999999999999</v>
      </c>
      <c r="J41" s="20">
        <v>0.22449999999999998</v>
      </c>
      <c r="K41" s="20">
        <v>0.21299999999999999</v>
      </c>
      <c r="L41" s="20">
        <v>0.19400000000000001</v>
      </c>
      <c r="M41" s="20">
        <v>0.127</v>
      </c>
      <c r="N41" s="16">
        <v>0.17149999999999999</v>
      </c>
      <c r="O41" s="16">
        <v>0.126</v>
      </c>
      <c r="P41" s="16">
        <v>0.13950000000000001</v>
      </c>
      <c r="Q41" s="16">
        <v>0.2235</v>
      </c>
      <c r="R41" s="16">
        <v>0.26300000000000001</v>
      </c>
      <c r="S41" s="16">
        <v>0.23899999999999999</v>
      </c>
      <c r="T41" s="24">
        <v>0.24399999999999999</v>
      </c>
      <c r="U41" s="24">
        <v>0.312</v>
      </c>
      <c r="V41" s="24">
        <v>0.28199999999999997</v>
      </c>
      <c r="W41" s="24">
        <v>0.32700000000000001</v>
      </c>
      <c r="X41" s="24">
        <v>0.27500000000000002</v>
      </c>
      <c r="Y41" s="24">
        <v>0.29699999999999999</v>
      </c>
      <c r="Z41" s="23">
        <v>0.27600000000000002</v>
      </c>
      <c r="AA41" s="24">
        <v>0.28299999999999997</v>
      </c>
      <c r="AB41" s="24">
        <v>0.29299999999999998</v>
      </c>
      <c r="AC41" s="24">
        <v>0.27900000000000003</v>
      </c>
      <c r="AD41" s="24">
        <v>0.33100000000000002</v>
      </c>
      <c r="AE41" s="24">
        <v>0.27200000000000002</v>
      </c>
      <c r="AF41" s="24">
        <v>0.22600000000000001</v>
      </c>
      <c r="AG41" s="24">
        <v>0.20699999999999999</v>
      </c>
      <c r="AH41" s="24">
        <v>0.151</v>
      </c>
      <c r="AI41" s="24">
        <v>0.16800000000000001</v>
      </c>
      <c r="AJ41" s="24">
        <v>0.16800000000000001</v>
      </c>
      <c r="AK41" s="24">
        <v>0.16300000000000001</v>
      </c>
      <c r="AL41" s="24">
        <v>0.316</v>
      </c>
      <c r="AM41" s="24">
        <v>0.35899999999999999</v>
      </c>
      <c r="AN41" s="40">
        <v>0.249</v>
      </c>
      <c r="AO41" s="40">
        <v>0.2</v>
      </c>
      <c r="AP41" s="40">
        <v>0.28799999999999998</v>
      </c>
      <c r="AQ41" s="40">
        <v>0.24199999999999999</v>
      </c>
      <c r="AR41" s="40">
        <v>0.23200000000000001</v>
      </c>
      <c r="AS41" s="40">
        <v>0.22</v>
      </c>
      <c r="AT41" s="40">
        <v>0.22600000000000001</v>
      </c>
      <c r="AU41" s="40">
        <v>0.189</v>
      </c>
      <c r="AV41" s="40">
        <v>0.159</v>
      </c>
      <c r="AW41" s="40">
        <v>0.14599999999999999</v>
      </c>
      <c r="AX41" s="40">
        <v>0.14000000000000001</v>
      </c>
      <c r="AY41" s="40">
        <v>0.218</v>
      </c>
      <c r="AZ41" s="40">
        <v>0.13100000000000001</v>
      </c>
      <c r="BA41" s="40">
        <v>0.23</v>
      </c>
      <c r="BB41" s="49">
        <v>0.16799999999999998</v>
      </c>
      <c r="BC41" s="40">
        <v>0.24149999999999999</v>
      </c>
      <c r="BD41" s="23" t="s">
        <v>38</v>
      </c>
      <c r="BE41" s="23" t="s">
        <v>38</v>
      </c>
      <c r="BF41" s="23" t="s">
        <v>38</v>
      </c>
      <c r="BG41" s="40">
        <v>0.26200000000000001</v>
      </c>
      <c r="BH41" s="38">
        <v>0.23949999999999999</v>
      </c>
      <c r="BI41" s="38">
        <v>0.2505</v>
      </c>
      <c r="BJ41" s="38">
        <v>0.27800000000000002</v>
      </c>
      <c r="BK41" s="38">
        <v>0.24349999999999999</v>
      </c>
      <c r="BL41" s="38">
        <v>0.26800000000000002</v>
      </c>
      <c r="BM41" s="38">
        <v>0.27600000000000002</v>
      </c>
      <c r="BN41" s="23" t="s">
        <v>38</v>
      </c>
      <c r="BO41" s="40">
        <v>0.28649999999999998</v>
      </c>
      <c r="BP41" s="38">
        <v>0.30199999999999999</v>
      </c>
      <c r="BQ41" s="38">
        <v>0.22199999999999998</v>
      </c>
      <c r="BR41" s="41">
        <v>0.24299999999999999</v>
      </c>
      <c r="BS41" s="41">
        <v>0.2145</v>
      </c>
      <c r="BT41" s="41">
        <v>0.19900000000000001</v>
      </c>
      <c r="BU41" s="42">
        <v>0.20150000000000001</v>
      </c>
      <c r="BV41" s="41">
        <v>0.20749999999999999</v>
      </c>
      <c r="BW41" s="42">
        <v>0.22550000000000001</v>
      </c>
      <c r="BX41" s="42">
        <v>0.26300000000000001</v>
      </c>
      <c r="BY41" s="85">
        <f>(0.321+0.3)/2</f>
        <v>0.3105</v>
      </c>
      <c r="BZ41" s="85">
        <f>(0.29+0.275)/2</f>
        <v>0.28249999999999997</v>
      </c>
      <c r="CA41" s="87">
        <v>0.38550000000000001</v>
      </c>
    </row>
    <row r="42" spans="1:79">
      <c r="A42" s="21">
        <v>33</v>
      </c>
      <c r="B42" s="83">
        <v>254630.21045499999</v>
      </c>
      <c r="C42" s="83">
        <v>4505643.6264500003</v>
      </c>
      <c r="D42" s="19" t="s">
        <v>38</v>
      </c>
      <c r="E42" s="19" t="s">
        <v>38</v>
      </c>
      <c r="F42" s="19" t="s">
        <v>38</v>
      </c>
      <c r="G42" s="19" t="s">
        <v>38</v>
      </c>
      <c r="H42" s="19" t="s">
        <v>38</v>
      </c>
      <c r="I42" s="19" t="s">
        <v>38</v>
      </c>
      <c r="J42" s="19" t="s">
        <v>38</v>
      </c>
      <c r="K42" s="19" t="s">
        <v>38</v>
      </c>
      <c r="L42" s="19" t="s">
        <v>38</v>
      </c>
      <c r="M42" s="19" t="s">
        <v>38</v>
      </c>
      <c r="N42" s="23" t="s">
        <v>38</v>
      </c>
      <c r="O42" s="23" t="s">
        <v>38</v>
      </c>
      <c r="P42" s="23" t="s">
        <v>38</v>
      </c>
      <c r="Q42" s="23" t="s">
        <v>38</v>
      </c>
      <c r="R42" s="23" t="s">
        <v>38</v>
      </c>
      <c r="S42" s="23" t="s">
        <v>38</v>
      </c>
      <c r="T42" s="23" t="s">
        <v>38</v>
      </c>
      <c r="U42" s="23" t="s">
        <v>38</v>
      </c>
      <c r="V42" s="23" t="s">
        <v>38</v>
      </c>
      <c r="W42" s="23" t="s">
        <v>38</v>
      </c>
      <c r="X42" s="23" t="s">
        <v>38</v>
      </c>
      <c r="Y42" s="23" t="s">
        <v>38</v>
      </c>
      <c r="Z42" s="23" t="s">
        <v>38</v>
      </c>
      <c r="AA42" s="23" t="s">
        <v>38</v>
      </c>
      <c r="AB42" s="23" t="s">
        <v>38</v>
      </c>
      <c r="AC42" s="23" t="s">
        <v>38</v>
      </c>
      <c r="AD42" s="23" t="s">
        <v>38</v>
      </c>
      <c r="AE42" s="23" t="s">
        <v>38</v>
      </c>
      <c r="AF42" s="23" t="s">
        <v>38</v>
      </c>
      <c r="AG42" s="23" t="s">
        <v>38</v>
      </c>
      <c r="AH42" s="23" t="s">
        <v>38</v>
      </c>
      <c r="AI42" s="23" t="s">
        <v>38</v>
      </c>
      <c r="AJ42" s="23" t="s">
        <v>38</v>
      </c>
      <c r="AK42" s="23" t="s">
        <v>38</v>
      </c>
      <c r="AL42" s="23" t="s">
        <v>38</v>
      </c>
      <c r="AM42" s="23" t="s">
        <v>38</v>
      </c>
      <c r="AN42" s="23" t="s">
        <v>38</v>
      </c>
      <c r="AO42" s="23" t="s">
        <v>38</v>
      </c>
      <c r="AP42" s="23" t="s">
        <v>38</v>
      </c>
      <c r="AQ42" s="23" t="s">
        <v>38</v>
      </c>
      <c r="AR42" s="23" t="s">
        <v>38</v>
      </c>
      <c r="AS42" s="23" t="s">
        <v>38</v>
      </c>
      <c r="AT42" s="23" t="s">
        <v>38</v>
      </c>
      <c r="AU42" s="23" t="s">
        <v>38</v>
      </c>
      <c r="AV42" s="23" t="s">
        <v>38</v>
      </c>
      <c r="AW42" s="23" t="s">
        <v>38</v>
      </c>
      <c r="AX42" s="23" t="s">
        <v>38</v>
      </c>
      <c r="AY42" s="23" t="s">
        <v>38</v>
      </c>
      <c r="AZ42" s="23" t="s">
        <v>38</v>
      </c>
      <c r="BA42" s="23" t="s">
        <v>38</v>
      </c>
      <c r="BB42" s="23" t="s">
        <v>38</v>
      </c>
      <c r="BC42" s="23" t="s">
        <v>38</v>
      </c>
      <c r="BD42" s="23" t="s">
        <v>38</v>
      </c>
      <c r="BE42" s="23" t="s">
        <v>38</v>
      </c>
      <c r="BF42" s="23" t="s">
        <v>38</v>
      </c>
      <c r="BG42" s="23" t="s">
        <v>38</v>
      </c>
      <c r="BH42" s="23" t="s">
        <v>38</v>
      </c>
      <c r="BI42" s="23" t="s">
        <v>38</v>
      </c>
      <c r="BJ42" s="23" t="s">
        <v>38</v>
      </c>
      <c r="BK42" s="23" t="s">
        <v>38</v>
      </c>
      <c r="BL42" s="23" t="s">
        <v>38</v>
      </c>
      <c r="BM42" s="23" t="s">
        <v>38</v>
      </c>
      <c r="BN42" s="23" t="s">
        <v>38</v>
      </c>
      <c r="BO42" s="23" t="s">
        <v>38</v>
      </c>
      <c r="BP42" s="23" t="s">
        <v>38</v>
      </c>
      <c r="BQ42" s="23" t="s">
        <v>38</v>
      </c>
      <c r="BR42" s="23" t="s">
        <v>38</v>
      </c>
      <c r="BS42" s="23" t="s">
        <v>38</v>
      </c>
      <c r="BT42" s="23" t="s">
        <v>38</v>
      </c>
      <c r="BU42" s="23" t="s">
        <v>38</v>
      </c>
      <c r="BV42" s="23" t="s">
        <v>38</v>
      </c>
      <c r="BW42" s="23" t="s">
        <v>38</v>
      </c>
      <c r="BX42" s="23" t="s">
        <v>38</v>
      </c>
      <c r="BY42" s="69" t="s">
        <v>38</v>
      </c>
      <c r="BZ42" s="69" t="s">
        <v>38</v>
      </c>
      <c r="CA42" s="86" t="s">
        <v>38</v>
      </c>
    </row>
    <row r="43" spans="1:79">
      <c r="A43" s="21">
        <v>34</v>
      </c>
      <c r="B43" s="82">
        <v>254645.629514</v>
      </c>
      <c r="C43" s="82">
        <v>4505638.1997999996</v>
      </c>
      <c r="D43" s="19" t="s">
        <v>38</v>
      </c>
      <c r="E43" s="20">
        <v>0.193</v>
      </c>
      <c r="F43" s="20">
        <v>0.20050000000000001</v>
      </c>
      <c r="G43" s="20">
        <v>0.22349999999999998</v>
      </c>
      <c r="H43" s="20">
        <v>0.19850000000000001</v>
      </c>
      <c r="I43" s="20">
        <v>0.17649999999999999</v>
      </c>
      <c r="J43" s="20">
        <v>0.1285</v>
      </c>
      <c r="K43" s="20">
        <v>9.0499999999999997E-2</v>
      </c>
      <c r="L43" s="20">
        <v>0.1205</v>
      </c>
      <c r="M43" s="20">
        <v>6.5500000000000003E-2</v>
      </c>
      <c r="N43" s="16">
        <v>0.11649999999999999</v>
      </c>
      <c r="O43" s="16">
        <v>7.3000000000000009E-2</v>
      </c>
      <c r="P43" s="16">
        <v>9.9500000000000005E-2</v>
      </c>
      <c r="Q43" s="16">
        <v>0.16899999999999998</v>
      </c>
      <c r="R43" s="16">
        <v>0.223</v>
      </c>
      <c r="S43" s="16">
        <v>0.20150000000000001</v>
      </c>
      <c r="T43" s="24">
        <v>0.374</v>
      </c>
      <c r="U43" s="24">
        <v>0.20200000000000001</v>
      </c>
      <c r="V43" s="24">
        <v>0.224</v>
      </c>
      <c r="W43" s="24">
        <v>0.185</v>
      </c>
      <c r="X43" s="24">
        <v>0.184</v>
      </c>
      <c r="Y43" s="24">
        <v>0.13100000000000001</v>
      </c>
      <c r="Z43" s="23">
        <v>0.17899999999999999</v>
      </c>
      <c r="AA43" s="24">
        <v>0.182</v>
      </c>
      <c r="AB43" s="24">
        <v>0.23100000000000001</v>
      </c>
      <c r="AC43" s="24">
        <v>0.216</v>
      </c>
      <c r="AD43" s="24">
        <v>0.19800000000000001</v>
      </c>
      <c r="AE43" s="24">
        <v>0.19400000000000001</v>
      </c>
      <c r="AF43" s="24">
        <v>0.13900000000000001</v>
      </c>
      <c r="AG43" s="24">
        <v>0.111</v>
      </c>
      <c r="AH43" s="24">
        <v>9.7000000000000003E-2</v>
      </c>
      <c r="AI43" s="24">
        <v>0.1</v>
      </c>
      <c r="AJ43" s="24">
        <v>0.11799999999999999</v>
      </c>
      <c r="AK43" s="24">
        <v>8.7999999999999995E-2</v>
      </c>
      <c r="AL43" s="24">
        <v>0.223</v>
      </c>
      <c r="AM43" s="24">
        <v>0.22800000000000001</v>
      </c>
      <c r="AN43" s="40">
        <v>0.17799999999999999</v>
      </c>
      <c r="AO43" s="40">
        <v>0.14499999999999999</v>
      </c>
      <c r="AP43" s="40">
        <v>0.152</v>
      </c>
      <c r="AQ43" s="40">
        <v>0.16900000000000001</v>
      </c>
      <c r="AR43" s="40">
        <v>0.161</v>
      </c>
      <c r="AS43" s="40">
        <v>0.151</v>
      </c>
      <c r="AT43" s="40">
        <v>0.152</v>
      </c>
      <c r="AU43" s="40">
        <v>0.12</v>
      </c>
      <c r="AV43" s="40">
        <v>9.9000000000000005E-2</v>
      </c>
      <c r="AW43" s="40">
        <v>9.0999999999999998E-2</v>
      </c>
      <c r="AX43" s="40">
        <v>9.4E-2</v>
      </c>
      <c r="AY43" s="40">
        <v>0.16200000000000001</v>
      </c>
      <c r="AZ43" s="40">
        <v>0.129</v>
      </c>
      <c r="BA43" s="40">
        <v>0.16600000000000001</v>
      </c>
      <c r="BB43" s="49">
        <v>0.1295</v>
      </c>
      <c r="BC43" s="40">
        <v>0.15</v>
      </c>
      <c r="BD43" s="23" t="s">
        <v>38</v>
      </c>
      <c r="BE43" s="23" t="s">
        <v>38</v>
      </c>
      <c r="BF43" s="23" t="s">
        <v>38</v>
      </c>
      <c r="BG43" s="40">
        <v>0.19700000000000001</v>
      </c>
      <c r="BH43" s="38">
        <v>0.19350000000000001</v>
      </c>
      <c r="BI43" s="38">
        <v>0.23399999999999999</v>
      </c>
      <c r="BJ43" s="38">
        <v>0.2225</v>
      </c>
      <c r="BK43" s="38">
        <v>0.20050000000000001</v>
      </c>
      <c r="BL43" s="38">
        <v>0.20450000000000002</v>
      </c>
      <c r="BM43" s="38">
        <v>0.19850000000000001</v>
      </c>
      <c r="BN43" s="39" t="s">
        <v>38</v>
      </c>
      <c r="BO43" s="40">
        <v>0.17649999999999999</v>
      </c>
      <c r="BP43" s="38">
        <v>0.17499999999999999</v>
      </c>
      <c r="BQ43" s="38">
        <v>0.16250000000000001</v>
      </c>
      <c r="BR43" s="41">
        <v>0.17699999999999999</v>
      </c>
      <c r="BS43" s="41">
        <v>0.15</v>
      </c>
      <c r="BT43" s="41">
        <v>0.13850000000000001</v>
      </c>
      <c r="BU43" s="42">
        <v>0.1285</v>
      </c>
      <c r="BV43" s="41">
        <v>0.123</v>
      </c>
      <c r="BW43" s="42">
        <v>0.1925</v>
      </c>
      <c r="BX43" s="42">
        <v>0.1575</v>
      </c>
      <c r="BY43" s="85">
        <f>(0.299+0.249)/2</f>
        <v>0.27400000000000002</v>
      </c>
      <c r="BZ43" s="85">
        <f>(0.239+0.237)/2</f>
        <v>0.23799999999999999</v>
      </c>
      <c r="CA43" s="87">
        <v>0.3</v>
      </c>
    </row>
    <row r="44" spans="1:79">
      <c r="A44" s="21">
        <v>35</v>
      </c>
      <c r="B44" s="83">
        <v>254670.124698</v>
      </c>
      <c r="C44" s="83">
        <v>4505665.0644100001</v>
      </c>
      <c r="D44" s="19" t="s">
        <v>38</v>
      </c>
      <c r="E44" s="19" t="s">
        <v>38</v>
      </c>
      <c r="F44" s="19" t="s">
        <v>38</v>
      </c>
      <c r="G44" s="19" t="s">
        <v>38</v>
      </c>
      <c r="H44" s="19" t="s">
        <v>38</v>
      </c>
      <c r="I44" s="19" t="s">
        <v>38</v>
      </c>
      <c r="J44" s="19" t="s">
        <v>38</v>
      </c>
      <c r="K44" s="19" t="s">
        <v>38</v>
      </c>
      <c r="L44" s="19" t="s">
        <v>38</v>
      </c>
      <c r="M44" s="19" t="s">
        <v>38</v>
      </c>
      <c r="N44" s="23" t="s">
        <v>38</v>
      </c>
      <c r="O44" s="23" t="s">
        <v>38</v>
      </c>
      <c r="P44" s="23" t="s">
        <v>38</v>
      </c>
      <c r="Q44" s="23" t="s">
        <v>38</v>
      </c>
      <c r="R44" s="23" t="s">
        <v>38</v>
      </c>
      <c r="S44" s="23" t="s">
        <v>38</v>
      </c>
      <c r="T44" s="23" t="s">
        <v>38</v>
      </c>
      <c r="U44" s="23" t="s">
        <v>38</v>
      </c>
      <c r="V44" s="23" t="s">
        <v>38</v>
      </c>
      <c r="W44" s="23" t="s">
        <v>38</v>
      </c>
      <c r="X44" s="23" t="s">
        <v>38</v>
      </c>
      <c r="Y44" s="23" t="s">
        <v>38</v>
      </c>
      <c r="Z44" s="23" t="s">
        <v>38</v>
      </c>
      <c r="AA44" s="23" t="s">
        <v>38</v>
      </c>
      <c r="AB44" s="23" t="s">
        <v>38</v>
      </c>
      <c r="AC44" s="23" t="s">
        <v>38</v>
      </c>
      <c r="AD44" s="23" t="s">
        <v>38</v>
      </c>
      <c r="AE44" s="23" t="s">
        <v>38</v>
      </c>
      <c r="AF44" s="23" t="s">
        <v>38</v>
      </c>
      <c r="AG44" s="23" t="s">
        <v>38</v>
      </c>
      <c r="AH44" s="23" t="s">
        <v>38</v>
      </c>
      <c r="AI44" s="23" t="s">
        <v>38</v>
      </c>
      <c r="AJ44" s="23" t="s">
        <v>38</v>
      </c>
      <c r="AK44" s="23" t="s">
        <v>38</v>
      </c>
      <c r="AL44" s="23" t="s">
        <v>38</v>
      </c>
      <c r="AM44" s="23" t="s">
        <v>38</v>
      </c>
      <c r="AN44" s="23" t="s">
        <v>38</v>
      </c>
      <c r="AO44" s="23" t="s">
        <v>38</v>
      </c>
      <c r="AP44" s="23" t="s">
        <v>38</v>
      </c>
      <c r="AQ44" s="23" t="s">
        <v>38</v>
      </c>
      <c r="AR44" s="23" t="s">
        <v>38</v>
      </c>
      <c r="AS44" s="23" t="s">
        <v>38</v>
      </c>
      <c r="AT44" s="23" t="s">
        <v>38</v>
      </c>
      <c r="AU44" s="23" t="s">
        <v>38</v>
      </c>
      <c r="AV44" s="23" t="s">
        <v>38</v>
      </c>
      <c r="AW44" s="23" t="s">
        <v>38</v>
      </c>
      <c r="AX44" s="23" t="s">
        <v>38</v>
      </c>
      <c r="AY44" s="23" t="s">
        <v>38</v>
      </c>
      <c r="AZ44" s="23" t="s">
        <v>38</v>
      </c>
      <c r="BA44" s="23" t="s">
        <v>38</v>
      </c>
      <c r="BB44" s="23" t="s">
        <v>38</v>
      </c>
      <c r="BC44" s="23" t="s">
        <v>38</v>
      </c>
      <c r="BD44" s="23" t="s">
        <v>38</v>
      </c>
      <c r="BE44" s="23" t="s">
        <v>38</v>
      </c>
      <c r="BF44" s="23" t="s">
        <v>38</v>
      </c>
      <c r="BG44" s="23" t="s">
        <v>38</v>
      </c>
      <c r="BH44" s="23" t="s">
        <v>38</v>
      </c>
      <c r="BI44" s="23" t="s">
        <v>38</v>
      </c>
      <c r="BJ44" s="23" t="s">
        <v>38</v>
      </c>
      <c r="BK44" s="23" t="s">
        <v>38</v>
      </c>
      <c r="BL44" s="23" t="s">
        <v>38</v>
      </c>
      <c r="BM44" s="23" t="s">
        <v>38</v>
      </c>
      <c r="BN44" s="23" t="s">
        <v>38</v>
      </c>
      <c r="BO44" s="23" t="s">
        <v>38</v>
      </c>
      <c r="BP44" s="23" t="s">
        <v>38</v>
      </c>
      <c r="BQ44" s="23" t="s">
        <v>38</v>
      </c>
      <c r="BR44" s="23" t="s">
        <v>38</v>
      </c>
      <c r="BS44" s="23" t="s">
        <v>38</v>
      </c>
      <c r="BT44" s="23" t="s">
        <v>38</v>
      </c>
      <c r="BU44" s="23" t="s">
        <v>38</v>
      </c>
      <c r="BV44" s="23" t="s">
        <v>38</v>
      </c>
      <c r="BW44" s="23" t="s">
        <v>38</v>
      </c>
      <c r="BX44" s="23" t="s">
        <v>38</v>
      </c>
      <c r="BY44" s="69" t="s">
        <v>38</v>
      </c>
      <c r="BZ44" s="69" t="s">
        <v>38</v>
      </c>
      <c r="CA44" s="86" t="s">
        <v>38</v>
      </c>
    </row>
    <row r="45" spans="1:79">
      <c r="A45" s="21">
        <v>36</v>
      </c>
      <c r="B45" s="82">
        <v>254694.327835</v>
      </c>
      <c r="C45" s="82">
        <v>4505677.1803099997</v>
      </c>
      <c r="D45" s="19" t="s">
        <v>38</v>
      </c>
      <c r="E45" s="19" t="s">
        <v>38</v>
      </c>
      <c r="F45" s="19" t="s">
        <v>38</v>
      </c>
      <c r="G45" s="19" t="s">
        <v>38</v>
      </c>
      <c r="H45" s="19" t="s">
        <v>38</v>
      </c>
      <c r="I45" s="19" t="s">
        <v>38</v>
      </c>
      <c r="J45" s="19" t="s">
        <v>38</v>
      </c>
      <c r="K45" s="19" t="s">
        <v>38</v>
      </c>
      <c r="L45" s="19" t="s">
        <v>38</v>
      </c>
      <c r="M45" s="19" t="s">
        <v>38</v>
      </c>
      <c r="N45" s="23" t="s">
        <v>38</v>
      </c>
      <c r="O45" s="23" t="s">
        <v>38</v>
      </c>
      <c r="P45" s="23" t="s">
        <v>38</v>
      </c>
      <c r="Q45" s="23" t="s">
        <v>38</v>
      </c>
      <c r="R45" s="23" t="s">
        <v>38</v>
      </c>
      <c r="S45" s="23" t="s">
        <v>38</v>
      </c>
      <c r="T45" s="23" t="s">
        <v>38</v>
      </c>
      <c r="U45" s="23" t="s">
        <v>38</v>
      </c>
      <c r="V45" s="23" t="s">
        <v>38</v>
      </c>
      <c r="W45" s="23" t="s">
        <v>38</v>
      </c>
      <c r="X45" s="23" t="s">
        <v>38</v>
      </c>
      <c r="Y45" s="23" t="s">
        <v>38</v>
      </c>
      <c r="Z45" s="23" t="s">
        <v>38</v>
      </c>
      <c r="AA45" s="23" t="s">
        <v>38</v>
      </c>
      <c r="AB45" s="23" t="s">
        <v>38</v>
      </c>
      <c r="AC45" s="23" t="s">
        <v>38</v>
      </c>
      <c r="AD45" s="23" t="s">
        <v>38</v>
      </c>
      <c r="AE45" s="23" t="s">
        <v>38</v>
      </c>
      <c r="AF45" s="23" t="s">
        <v>38</v>
      </c>
      <c r="AG45" s="23" t="s">
        <v>38</v>
      </c>
      <c r="AH45" s="23" t="s">
        <v>38</v>
      </c>
      <c r="AI45" s="23" t="s">
        <v>38</v>
      </c>
      <c r="AJ45" s="23" t="s">
        <v>38</v>
      </c>
      <c r="AK45" s="23" t="s">
        <v>38</v>
      </c>
      <c r="AL45" s="23" t="s">
        <v>38</v>
      </c>
      <c r="AM45" s="23" t="s">
        <v>38</v>
      </c>
      <c r="AN45" s="23" t="s">
        <v>38</v>
      </c>
      <c r="AO45" s="23" t="s">
        <v>38</v>
      </c>
      <c r="AP45" s="23" t="s">
        <v>38</v>
      </c>
      <c r="AQ45" s="23" t="s">
        <v>38</v>
      </c>
      <c r="AR45" s="23" t="s">
        <v>38</v>
      </c>
      <c r="AS45" s="23" t="s">
        <v>38</v>
      </c>
      <c r="AT45" s="23" t="s">
        <v>38</v>
      </c>
      <c r="AU45" s="23" t="s">
        <v>38</v>
      </c>
      <c r="AV45" s="23" t="s">
        <v>38</v>
      </c>
      <c r="AW45" s="23" t="s">
        <v>38</v>
      </c>
      <c r="AX45" s="23" t="s">
        <v>38</v>
      </c>
      <c r="AY45" s="23" t="s">
        <v>38</v>
      </c>
      <c r="AZ45" s="23" t="s">
        <v>38</v>
      </c>
      <c r="BA45" s="23" t="s">
        <v>38</v>
      </c>
      <c r="BB45" s="23" t="s">
        <v>38</v>
      </c>
      <c r="BC45" s="23" t="s">
        <v>38</v>
      </c>
      <c r="BD45" s="23" t="s">
        <v>38</v>
      </c>
      <c r="BE45" s="23" t="s">
        <v>38</v>
      </c>
      <c r="BF45" s="23" t="s">
        <v>38</v>
      </c>
      <c r="BG45" s="23" t="s">
        <v>38</v>
      </c>
      <c r="BH45" s="23" t="s">
        <v>38</v>
      </c>
      <c r="BI45" s="23" t="s">
        <v>38</v>
      </c>
      <c r="BJ45" s="23" t="s">
        <v>38</v>
      </c>
      <c r="BK45" s="23" t="s">
        <v>38</v>
      </c>
      <c r="BL45" s="23" t="s">
        <v>38</v>
      </c>
      <c r="BM45" s="23" t="s">
        <v>38</v>
      </c>
      <c r="BN45" s="23" t="s">
        <v>38</v>
      </c>
      <c r="BO45" s="23" t="s">
        <v>38</v>
      </c>
      <c r="BP45" s="23" t="s">
        <v>38</v>
      </c>
      <c r="BQ45" s="23" t="s">
        <v>38</v>
      </c>
      <c r="BR45" s="23" t="s">
        <v>38</v>
      </c>
      <c r="BS45" s="23" t="s">
        <v>38</v>
      </c>
      <c r="BT45" s="23" t="s">
        <v>38</v>
      </c>
      <c r="BU45" s="23" t="s">
        <v>38</v>
      </c>
      <c r="BV45" s="23" t="s">
        <v>38</v>
      </c>
      <c r="BW45" s="23" t="s">
        <v>38</v>
      </c>
      <c r="BX45" s="23" t="s">
        <v>38</v>
      </c>
      <c r="BY45" s="69" t="s">
        <v>38</v>
      </c>
      <c r="BZ45" s="69" t="s">
        <v>38</v>
      </c>
      <c r="CA45" s="86" t="s">
        <v>38</v>
      </c>
    </row>
    <row r="46" spans="1:79">
      <c r="A46" s="21">
        <v>37</v>
      </c>
      <c r="B46" s="82">
        <v>254278.222178</v>
      </c>
      <c r="C46" s="82">
        <v>4505598.09038</v>
      </c>
      <c r="D46" s="19" t="s">
        <v>38</v>
      </c>
      <c r="E46" s="19" t="s">
        <v>38</v>
      </c>
      <c r="F46" s="19" t="s">
        <v>38</v>
      </c>
      <c r="G46" s="19" t="s">
        <v>38</v>
      </c>
      <c r="H46" s="19" t="s">
        <v>38</v>
      </c>
      <c r="I46" s="19" t="s">
        <v>38</v>
      </c>
      <c r="J46" s="19" t="s">
        <v>38</v>
      </c>
      <c r="K46" s="19" t="s">
        <v>38</v>
      </c>
      <c r="L46" s="19" t="s">
        <v>38</v>
      </c>
      <c r="M46" s="19" t="s">
        <v>38</v>
      </c>
      <c r="N46" s="23" t="s">
        <v>38</v>
      </c>
      <c r="O46" s="23" t="s">
        <v>38</v>
      </c>
      <c r="P46" s="23" t="s">
        <v>38</v>
      </c>
      <c r="Q46" s="23" t="s">
        <v>38</v>
      </c>
      <c r="R46" s="23" t="s">
        <v>38</v>
      </c>
      <c r="S46" s="23" t="s">
        <v>38</v>
      </c>
      <c r="T46" s="23" t="s">
        <v>38</v>
      </c>
      <c r="U46" s="23" t="s">
        <v>38</v>
      </c>
      <c r="V46" s="23" t="s">
        <v>38</v>
      </c>
      <c r="W46" s="23" t="s">
        <v>38</v>
      </c>
      <c r="X46" s="23" t="s">
        <v>38</v>
      </c>
      <c r="Y46" s="23" t="s">
        <v>38</v>
      </c>
      <c r="Z46" s="23" t="s">
        <v>38</v>
      </c>
      <c r="AA46" s="23" t="s">
        <v>38</v>
      </c>
      <c r="AB46" s="23" t="s">
        <v>38</v>
      </c>
      <c r="AC46" s="23" t="s">
        <v>38</v>
      </c>
      <c r="AD46" s="23" t="s">
        <v>38</v>
      </c>
      <c r="AE46" s="23" t="s">
        <v>38</v>
      </c>
      <c r="AF46" s="23" t="s">
        <v>38</v>
      </c>
      <c r="AG46" s="23" t="s">
        <v>38</v>
      </c>
      <c r="AH46" s="23" t="s">
        <v>38</v>
      </c>
      <c r="AI46" s="23" t="s">
        <v>38</v>
      </c>
      <c r="AJ46" s="23" t="s">
        <v>38</v>
      </c>
      <c r="AK46" s="23" t="s">
        <v>38</v>
      </c>
      <c r="AL46" s="23" t="s">
        <v>38</v>
      </c>
      <c r="AM46" s="23" t="s">
        <v>38</v>
      </c>
      <c r="AN46" s="23" t="s">
        <v>38</v>
      </c>
      <c r="AO46" s="23" t="s">
        <v>38</v>
      </c>
      <c r="AP46" s="23" t="s">
        <v>38</v>
      </c>
      <c r="AQ46" s="23" t="s">
        <v>38</v>
      </c>
      <c r="AR46" s="23" t="s">
        <v>38</v>
      </c>
      <c r="AS46" s="23" t="s">
        <v>38</v>
      </c>
      <c r="AT46" s="23" t="s">
        <v>38</v>
      </c>
      <c r="AU46" s="23" t="s">
        <v>38</v>
      </c>
      <c r="AV46" s="23" t="s">
        <v>38</v>
      </c>
      <c r="AW46" s="23" t="s">
        <v>38</v>
      </c>
      <c r="AX46" s="23" t="s">
        <v>38</v>
      </c>
      <c r="AY46" s="23" t="s">
        <v>38</v>
      </c>
      <c r="AZ46" s="23" t="s">
        <v>38</v>
      </c>
      <c r="BA46" s="23" t="s">
        <v>38</v>
      </c>
      <c r="BB46" s="23" t="s">
        <v>38</v>
      </c>
      <c r="BC46" s="23" t="s">
        <v>38</v>
      </c>
      <c r="BD46" s="23" t="s">
        <v>38</v>
      </c>
      <c r="BE46" s="23" t="s">
        <v>38</v>
      </c>
      <c r="BF46" s="23" t="s">
        <v>38</v>
      </c>
      <c r="BG46" s="23" t="s">
        <v>38</v>
      </c>
      <c r="BH46" s="23" t="s">
        <v>38</v>
      </c>
      <c r="BI46" s="23" t="s">
        <v>38</v>
      </c>
      <c r="BJ46" s="23" t="s">
        <v>38</v>
      </c>
      <c r="BK46" s="23" t="s">
        <v>38</v>
      </c>
      <c r="BL46" s="23" t="s">
        <v>38</v>
      </c>
      <c r="BM46" s="23" t="s">
        <v>38</v>
      </c>
      <c r="BN46" s="23" t="s">
        <v>38</v>
      </c>
      <c r="BO46" s="23" t="s">
        <v>38</v>
      </c>
      <c r="BP46" s="23" t="s">
        <v>38</v>
      </c>
      <c r="BQ46" s="23" t="s">
        <v>38</v>
      </c>
      <c r="BR46" s="23" t="s">
        <v>38</v>
      </c>
      <c r="BS46" s="23" t="s">
        <v>38</v>
      </c>
      <c r="BT46" s="23" t="s">
        <v>38</v>
      </c>
      <c r="BU46" s="23" t="s">
        <v>38</v>
      </c>
      <c r="BV46" s="23" t="s">
        <v>38</v>
      </c>
      <c r="BW46" s="23" t="s">
        <v>38</v>
      </c>
      <c r="BX46" s="23" t="s">
        <v>38</v>
      </c>
      <c r="BY46" s="69" t="s">
        <v>38</v>
      </c>
      <c r="BZ46" s="69" t="s">
        <v>38</v>
      </c>
      <c r="CA46" s="86" t="s">
        <v>38</v>
      </c>
    </row>
    <row r="47" spans="1:79">
      <c r="A47" s="21">
        <v>38</v>
      </c>
      <c r="B47" s="82">
        <v>254283.86705500001</v>
      </c>
      <c r="C47" s="82">
        <v>4505606.6247800002</v>
      </c>
      <c r="D47" s="19" t="s">
        <v>38</v>
      </c>
      <c r="E47" s="20">
        <v>0.318</v>
      </c>
      <c r="F47" s="20">
        <v>0.31850000000000001</v>
      </c>
      <c r="G47" s="20">
        <v>0.34250000000000003</v>
      </c>
      <c r="H47" s="20">
        <v>0.33100000000000002</v>
      </c>
      <c r="I47" s="20">
        <v>0.28749999999999998</v>
      </c>
      <c r="J47" s="20">
        <v>0.26300000000000001</v>
      </c>
      <c r="K47" s="20">
        <v>0.13650000000000001</v>
      </c>
      <c r="L47" s="20">
        <v>0.308</v>
      </c>
      <c r="M47" s="20">
        <v>0.23200000000000001</v>
      </c>
      <c r="N47" s="16">
        <v>0.26300000000000001</v>
      </c>
      <c r="O47" s="16">
        <v>0.2155</v>
      </c>
      <c r="P47" s="16">
        <v>0.22500000000000001</v>
      </c>
      <c r="Q47" s="16">
        <v>0.28050000000000003</v>
      </c>
      <c r="R47" s="16">
        <v>0.3145</v>
      </c>
      <c r="S47" s="16">
        <v>0.27650000000000002</v>
      </c>
      <c r="T47" s="24">
        <v>0.373</v>
      </c>
      <c r="U47" s="24">
        <v>0.52800000000000002</v>
      </c>
      <c r="V47" s="24">
        <v>0.59799999999999998</v>
      </c>
      <c r="W47" s="24">
        <v>0.61699999999999999</v>
      </c>
      <c r="X47" s="24">
        <v>0.58899999999999997</v>
      </c>
      <c r="Y47" s="24">
        <v>0.436</v>
      </c>
      <c r="Z47" s="23">
        <v>0.56200000000000006</v>
      </c>
      <c r="AA47" s="24">
        <v>0.57699999999999996</v>
      </c>
      <c r="AB47" s="24">
        <v>0.625</v>
      </c>
      <c r="AC47" s="24">
        <v>0.51500000000000001</v>
      </c>
      <c r="AD47" s="24">
        <v>0.39300000000000002</v>
      </c>
      <c r="AE47" s="24">
        <v>0.32200000000000001</v>
      </c>
      <c r="AF47" s="24">
        <v>0.39200000000000002</v>
      </c>
      <c r="AG47" s="24">
        <v>0.36299999999999999</v>
      </c>
      <c r="AH47" s="24">
        <v>0.222</v>
      </c>
      <c r="AI47" s="24">
        <v>0.32900000000000001</v>
      </c>
      <c r="AJ47" s="24">
        <v>0.35299999999999998</v>
      </c>
      <c r="AK47" s="24">
        <v>0.28000000000000003</v>
      </c>
      <c r="AL47" s="23" t="s">
        <v>38</v>
      </c>
      <c r="AM47" s="24">
        <v>0.71099999999999997</v>
      </c>
      <c r="AN47" s="40">
        <v>0.30599999999999999</v>
      </c>
      <c r="AO47" s="40">
        <v>0.25800000000000001</v>
      </c>
      <c r="AP47" s="40">
        <v>0.33100000000000002</v>
      </c>
      <c r="AQ47" s="40">
        <v>0.35299999999999998</v>
      </c>
      <c r="AR47" s="40">
        <v>0.30299999999999999</v>
      </c>
      <c r="AS47" s="40">
        <v>0.31</v>
      </c>
      <c r="AT47" s="40">
        <v>0.314</v>
      </c>
      <c r="AU47" s="40">
        <v>0.27700000000000002</v>
      </c>
      <c r="AV47" s="40">
        <v>0.247</v>
      </c>
      <c r="AW47" s="40">
        <v>0.23300000000000001</v>
      </c>
      <c r="AX47" s="40">
        <v>0.23100000000000001</v>
      </c>
      <c r="AY47" s="40">
        <v>0.33300000000000002</v>
      </c>
      <c r="AZ47" s="40">
        <v>0.30199999999999999</v>
      </c>
      <c r="BA47" s="40">
        <v>0.32</v>
      </c>
      <c r="BB47" s="49">
        <v>0.2205</v>
      </c>
      <c r="BC47" s="40">
        <v>0.3075</v>
      </c>
      <c r="BD47" s="23" t="s">
        <v>38</v>
      </c>
      <c r="BE47" s="23" t="s">
        <v>38</v>
      </c>
      <c r="BF47" s="23" t="s">
        <v>38</v>
      </c>
      <c r="BG47" s="40">
        <v>0.39700000000000002</v>
      </c>
      <c r="BH47" s="38">
        <v>0.33750000000000002</v>
      </c>
      <c r="BI47" s="38">
        <v>0.32150000000000001</v>
      </c>
      <c r="BJ47" s="38">
        <v>0.38100000000000001</v>
      </c>
      <c r="BK47" s="38">
        <v>0.34299999999999997</v>
      </c>
      <c r="BL47" s="38">
        <v>0.3155</v>
      </c>
      <c r="BM47" s="38">
        <v>0.35249999999999998</v>
      </c>
      <c r="BN47" s="40">
        <v>0.37</v>
      </c>
      <c r="BO47" s="40">
        <v>0.373</v>
      </c>
      <c r="BP47" s="38">
        <v>0.35949999999999999</v>
      </c>
      <c r="BQ47" s="38">
        <v>0.25850000000000001</v>
      </c>
      <c r="BR47" s="41">
        <v>0.33399999999999996</v>
      </c>
      <c r="BS47" s="41">
        <v>0.26100000000000001</v>
      </c>
      <c r="BT47" s="41">
        <v>0.253</v>
      </c>
      <c r="BU47" s="42">
        <v>0.3135</v>
      </c>
      <c r="BV47" s="41">
        <v>0.23099999999999998</v>
      </c>
      <c r="BW47" s="42">
        <v>0.33500000000000002</v>
      </c>
      <c r="BX47" s="42">
        <v>0.31950000000000001</v>
      </c>
      <c r="BY47" s="85">
        <f>(0.33+0.34)/2</f>
        <v>0.33500000000000002</v>
      </c>
      <c r="BZ47" s="85">
        <f>(0.489+0.483)/2</f>
        <v>0.48599999999999999</v>
      </c>
      <c r="CA47" s="87">
        <v>0.35099999999999998</v>
      </c>
    </row>
    <row r="48" spans="1:79">
      <c r="A48" s="21">
        <v>39</v>
      </c>
      <c r="B48" s="83">
        <v>254326.89087</v>
      </c>
      <c r="C48" s="83">
        <v>4505589.7420199998</v>
      </c>
      <c r="D48" s="19" t="s">
        <v>38</v>
      </c>
      <c r="E48" s="19" t="s">
        <v>38</v>
      </c>
      <c r="F48" s="19" t="s">
        <v>38</v>
      </c>
      <c r="G48" s="19" t="s">
        <v>38</v>
      </c>
      <c r="H48" s="19" t="s">
        <v>38</v>
      </c>
      <c r="I48" s="19" t="s">
        <v>38</v>
      </c>
      <c r="J48" s="19" t="s">
        <v>38</v>
      </c>
      <c r="K48" s="19" t="s">
        <v>38</v>
      </c>
      <c r="L48" s="19" t="s">
        <v>38</v>
      </c>
      <c r="M48" s="19" t="s">
        <v>38</v>
      </c>
      <c r="N48" s="23" t="s">
        <v>38</v>
      </c>
      <c r="O48" s="23" t="s">
        <v>38</v>
      </c>
      <c r="P48" s="23" t="s">
        <v>38</v>
      </c>
      <c r="Q48" s="23" t="s">
        <v>38</v>
      </c>
      <c r="R48" s="23" t="s">
        <v>38</v>
      </c>
      <c r="S48" s="23" t="s">
        <v>38</v>
      </c>
      <c r="T48" s="23" t="s">
        <v>38</v>
      </c>
      <c r="U48" s="23" t="s">
        <v>38</v>
      </c>
      <c r="V48" s="23" t="s">
        <v>38</v>
      </c>
      <c r="W48" s="23" t="s">
        <v>38</v>
      </c>
      <c r="X48" s="23" t="s">
        <v>38</v>
      </c>
      <c r="Y48" s="23" t="s">
        <v>38</v>
      </c>
      <c r="Z48" s="23" t="s">
        <v>38</v>
      </c>
      <c r="AA48" s="23" t="s">
        <v>38</v>
      </c>
      <c r="AB48" s="23" t="s">
        <v>38</v>
      </c>
      <c r="AC48" s="23" t="s">
        <v>38</v>
      </c>
      <c r="AD48" s="23" t="s">
        <v>38</v>
      </c>
      <c r="AE48" s="23" t="s">
        <v>38</v>
      </c>
      <c r="AF48" s="23" t="s">
        <v>38</v>
      </c>
      <c r="AG48" s="23" t="s">
        <v>38</v>
      </c>
      <c r="AH48" s="23" t="s">
        <v>38</v>
      </c>
      <c r="AI48" s="23" t="s">
        <v>38</v>
      </c>
      <c r="AJ48" s="23" t="s">
        <v>38</v>
      </c>
      <c r="AK48" s="23" t="s">
        <v>38</v>
      </c>
      <c r="AL48" s="23" t="s">
        <v>38</v>
      </c>
      <c r="AM48" s="23" t="s">
        <v>38</v>
      </c>
      <c r="AN48" s="23" t="s">
        <v>38</v>
      </c>
      <c r="AO48" s="23" t="s">
        <v>38</v>
      </c>
      <c r="AP48" s="23" t="s">
        <v>38</v>
      </c>
      <c r="AQ48" s="23" t="s">
        <v>38</v>
      </c>
      <c r="AR48" s="23" t="s">
        <v>38</v>
      </c>
      <c r="AS48" s="23" t="s">
        <v>38</v>
      </c>
      <c r="AT48" s="23" t="s">
        <v>38</v>
      </c>
      <c r="AU48" s="23" t="s">
        <v>38</v>
      </c>
      <c r="AV48" s="23" t="s">
        <v>38</v>
      </c>
      <c r="AW48" s="23" t="s">
        <v>38</v>
      </c>
      <c r="AX48" s="23" t="s">
        <v>38</v>
      </c>
      <c r="AY48" s="23" t="s">
        <v>38</v>
      </c>
      <c r="AZ48" s="23" t="s">
        <v>38</v>
      </c>
      <c r="BA48" s="23" t="s">
        <v>38</v>
      </c>
      <c r="BB48" s="23" t="s">
        <v>38</v>
      </c>
      <c r="BC48" s="23" t="s">
        <v>38</v>
      </c>
      <c r="BD48" s="23" t="s">
        <v>38</v>
      </c>
      <c r="BE48" s="23" t="s">
        <v>38</v>
      </c>
      <c r="BF48" s="23" t="s">
        <v>38</v>
      </c>
      <c r="BG48" s="23" t="s">
        <v>38</v>
      </c>
      <c r="BH48" s="23" t="s">
        <v>38</v>
      </c>
      <c r="BI48" s="23" t="s">
        <v>38</v>
      </c>
      <c r="BJ48" s="23" t="s">
        <v>38</v>
      </c>
      <c r="BK48" s="23" t="s">
        <v>38</v>
      </c>
      <c r="BL48" s="23" t="s">
        <v>38</v>
      </c>
      <c r="BM48" s="23" t="s">
        <v>38</v>
      </c>
      <c r="BN48" s="23" t="s">
        <v>38</v>
      </c>
      <c r="BO48" s="23" t="s">
        <v>38</v>
      </c>
      <c r="BP48" s="23" t="s">
        <v>38</v>
      </c>
      <c r="BQ48" s="23" t="s">
        <v>38</v>
      </c>
      <c r="BR48" s="23" t="s">
        <v>38</v>
      </c>
      <c r="BS48" s="23" t="s">
        <v>38</v>
      </c>
      <c r="BT48" s="23" t="s">
        <v>38</v>
      </c>
      <c r="BU48" s="23" t="s">
        <v>38</v>
      </c>
      <c r="BV48" s="23" t="s">
        <v>38</v>
      </c>
      <c r="BW48" s="23" t="s">
        <v>38</v>
      </c>
      <c r="BX48" s="23" t="s">
        <v>38</v>
      </c>
      <c r="BY48" s="69" t="s">
        <v>38</v>
      </c>
      <c r="BZ48" s="69" t="s">
        <v>38</v>
      </c>
      <c r="CA48" s="86" t="s">
        <v>38</v>
      </c>
    </row>
    <row r="49" spans="1:79">
      <c r="A49" s="21">
        <v>40</v>
      </c>
      <c r="B49" s="82">
        <v>254322.92004600001</v>
      </c>
      <c r="C49" s="82">
        <v>4505620.3210300002</v>
      </c>
      <c r="D49" s="19">
        <v>0.21149999999999999</v>
      </c>
      <c r="E49" s="20">
        <v>0.19850000000000001</v>
      </c>
      <c r="F49" s="20">
        <v>0.21099999999999999</v>
      </c>
      <c r="G49" s="20">
        <v>0.20150000000000001</v>
      </c>
      <c r="H49" s="20">
        <v>0.217</v>
      </c>
      <c r="I49" s="20">
        <v>0.16</v>
      </c>
      <c r="J49" s="20">
        <v>0.14450000000000002</v>
      </c>
      <c r="K49" s="20">
        <v>0.124</v>
      </c>
      <c r="L49" s="20">
        <v>0.159</v>
      </c>
      <c r="M49" s="20">
        <v>0.11699999999999999</v>
      </c>
      <c r="N49" s="16">
        <v>0.13650000000000001</v>
      </c>
      <c r="O49" s="16">
        <v>0.1225</v>
      </c>
      <c r="P49" s="16">
        <v>0.127</v>
      </c>
      <c r="Q49" s="16">
        <v>0.16899999999999998</v>
      </c>
      <c r="R49" s="16">
        <v>0.1905</v>
      </c>
      <c r="S49" s="16">
        <v>0.2185</v>
      </c>
      <c r="T49" s="24">
        <v>0.17</v>
      </c>
      <c r="U49" s="24">
        <v>0.19700000000000001</v>
      </c>
      <c r="V49" s="25">
        <v>0.17499999999999999</v>
      </c>
      <c r="W49" s="25">
        <v>0.19400000000000001</v>
      </c>
      <c r="X49" s="24">
        <v>0.186</v>
      </c>
      <c r="Y49" s="24">
        <v>0.16500000000000001</v>
      </c>
      <c r="Z49" s="23">
        <v>0.20599999999999999</v>
      </c>
      <c r="AA49" s="24">
        <v>0.2</v>
      </c>
      <c r="AB49" s="24">
        <v>0.182</v>
      </c>
      <c r="AC49" s="24">
        <v>0.23100000000000001</v>
      </c>
      <c r="AD49" s="24">
        <v>0.20200000000000001</v>
      </c>
      <c r="AE49" s="24">
        <v>0.216</v>
      </c>
      <c r="AF49" s="24">
        <v>0.17199999999999999</v>
      </c>
      <c r="AG49" s="24">
        <v>0.192</v>
      </c>
      <c r="AH49" s="24">
        <v>0.14799999999999999</v>
      </c>
      <c r="AI49" s="24">
        <v>0.17199999999999999</v>
      </c>
      <c r="AJ49" s="24">
        <v>0.125</v>
      </c>
      <c r="AK49" s="24">
        <v>0.14799999999999999</v>
      </c>
      <c r="AL49" s="23" t="s">
        <v>38</v>
      </c>
      <c r="AM49" s="24">
        <v>0.217</v>
      </c>
      <c r="AN49" s="40">
        <v>0.16800000000000001</v>
      </c>
      <c r="AO49" s="40">
        <v>0.123</v>
      </c>
      <c r="AP49" s="40">
        <v>0.19900000000000001</v>
      </c>
      <c r="AQ49" s="40">
        <v>0.1565</v>
      </c>
      <c r="AR49" s="40">
        <v>0.151</v>
      </c>
      <c r="AS49" s="40">
        <v>0.17100000000000001</v>
      </c>
      <c r="AT49" s="40">
        <v>0.155</v>
      </c>
      <c r="AU49" s="40">
        <v>0.14499999999999999</v>
      </c>
      <c r="AV49" s="40">
        <v>0.128</v>
      </c>
      <c r="AW49" s="40">
        <v>0.13600000000000001</v>
      </c>
      <c r="AX49" s="40">
        <v>0.13400000000000001</v>
      </c>
      <c r="AY49" s="40">
        <v>0.16400000000000001</v>
      </c>
      <c r="AZ49" s="40">
        <v>0.158</v>
      </c>
      <c r="BA49" s="40">
        <v>0.122</v>
      </c>
      <c r="BB49" s="49">
        <v>0.11749999999999999</v>
      </c>
      <c r="BC49" s="23" t="s">
        <v>38</v>
      </c>
      <c r="BD49" s="23" t="s">
        <v>38</v>
      </c>
      <c r="BE49" s="23" t="s">
        <v>38</v>
      </c>
      <c r="BF49" s="23" t="s">
        <v>38</v>
      </c>
      <c r="BG49" s="40">
        <v>0.18</v>
      </c>
      <c r="BH49" s="38">
        <v>0.191</v>
      </c>
      <c r="BI49" s="38">
        <v>0.19950000000000001</v>
      </c>
      <c r="BJ49" s="38">
        <v>0.17949999999999999</v>
      </c>
      <c r="BK49" s="38">
        <v>0.17549999999999999</v>
      </c>
      <c r="BL49" s="38">
        <v>0.1915</v>
      </c>
      <c r="BM49" s="38">
        <v>0.156</v>
      </c>
      <c r="BN49" s="40">
        <v>0.16349999999999998</v>
      </c>
      <c r="BO49" s="40">
        <v>0.15949999999999998</v>
      </c>
      <c r="BP49" s="38">
        <v>0.184</v>
      </c>
      <c r="BQ49" s="38">
        <v>0.15200000000000002</v>
      </c>
      <c r="BR49" s="41">
        <v>0.17199999999999999</v>
      </c>
      <c r="BS49" s="41">
        <v>0.15</v>
      </c>
      <c r="BT49" s="41">
        <v>0.14400000000000002</v>
      </c>
      <c r="BU49" s="42">
        <v>0.14000000000000001</v>
      </c>
      <c r="BV49" s="41">
        <v>0.1565</v>
      </c>
      <c r="BW49" s="42">
        <v>0.192</v>
      </c>
      <c r="BX49" s="42">
        <v>0.17349999999999999</v>
      </c>
      <c r="BY49" s="85">
        <f>(0.255+0.258)/2</f>
        <v>0.25650000000000001</v>
      </c>
      <c r="BZ49" s="85">
        <f>(0.322+0.297)/2</f>
        <v>0.3095</v>
      </c>
      <c r="CA49" s="87">
        <v>0.24049999999999999</v>
      </c>
    </row>
    <row r="50" spans="1:79">
      <c r="A50" s="21">
        <v>41</v>
      </c>
      <c r="B50" s="82">
        <v>254361.30648100001</v>
      </c>
      <c r="C50" s="82">
        <v>4505599.5975200003</v>
      </c>
      <c r="D50" s="19" t="s">
        <v>38</v>
      </c>
      <c r="E50" s="19" t="s">
        <v>38</v>
      </c>
      <c r="F50" s="19" t="s">
        <v>38</v>
      </c>
      <c r="G50" s="19" t="s">
        <v>38</v>
      </c>
      <c r="H50" s="19" t="s">
        <v>38</v>
      </c>
      <c r="I50" s="19" t="s">
        <v>38</v>
      </c>
      <c r="J50" s="19" t="s">
        <v>38</v>
      </c>
      <c r="K50" s="19" t="s">
        <v>38</v>
      </c>
      <c r="L50" s="19" t="s">
        <v>38</v>
      </c>
      <c r="M50" s="19" t="s">
        <v>38</v>
      </c>
      <c r="N50" s="23" t="s">
        <v>38</v>
      </c>
      <c r="O50" s="23" t="s">
        <v>38</v>
      </c>
      <c r="P50" s="23" t="s">
        <v>38</v>
      </c>
      <c r="Q50" s="23" t="s">
        <v>38</v>
      </c>
      <c r="R50" s="23" t="s">
        <v>38</v>
      </c>
      <c r="S50" s="23" t="s">
        <v>38</v>
      </c>
      <c r="T50" s="23" t="s">
        <v>38</v>
      </c>
      <c r="U50" s="23" t="s">
        <v>38</v>
      </c>
      <c r="V50" s="23" t="s">
        <v>38</v>
      </c>
      <c r="W50" s="23" t="s">
        <v>38</v>
      </c>
      <c r="X50" s="23" t="s">
        <v>38</v>
      </c>
      <c r="Y50" s="23" t="s">
        <v>38</v>
      </c>
      <c r="Z50" s="23" t="s">
        <v>38</v>
      </c>
      <c r="AA50" s="23" t="s">
        <v>38</v>
      </c>
      <c r="AB50" s="23" t="s">
        <v>38</v>
      </c>
      <c r="AC50" s="23" t="s">
        <v>38</v>
      </c>
      <c r="AD50" s="23" t="s">
        <v>38</v>
      </c>
      <c r="AE50" s="23" t="s">
        <v>38</v>
      </c>
      <c r="AF50" s="23" t="s">
        <v>38</v>
      </c>
      <c r="AG50" s="23" t="s">
        <v>38</v>
      </c>
      <c r="AH50" s="23" t="s">
        <v>38</v>
      </c>
      <c r="AI50" s="23" t="s">
        <v>38</v>
      </c>
      <c r="AJ50" s="23" t="s">
        <v>38</v>
      </c>
      <c r="AK50" s="23" t="s">
        <v>38</v>
      </c>
      <c r="AL50" s="23" t="s">
        <v>38</v>
      </c>
      <c r="AM50" s="23" t="s">
        <v>38</v>
      </c>
      <c r="AN50" s="23" t="s">
        <v>38</v>
      </c>
      <c r="AO50" s="23" t="s">
        <v>38</v>
      </c>
      <c r="AP50" s="23" t="s">
        <v>38</v>
      </c>
      <c r="AQ50" s="23" t="s">
        <v>38</v>
      </c>
      <c r="AR50" s="23" t="s">
        <v>38</v>
      </c>
      <c r="AS50" s="23" t="s">
        <v>38</v>
      </c>
      <c r="AT50" s="23" t="s">
        <v>38</v>
      </c>
      <c r="AU50" s="23" t="s">
        <v>38</v>
      </c>
      <c r="AV50" s="23" t="s">
        <v>38</v>
      </c>
      <c r="AW50" s="23" t="s">
        <v>38</v>
      </c>
      <c r="AX50" s="23" t="s">
        <v>38</v>
      </c>
      <c r="AY50" s="23" t="s">
        <v>38</v>
      </c>
      <c r="AZ50" s="23" t="s">
        <v>38</v>
      </c>
      <c r="BA50" s="23" t="s">
        <v>38</v>
      </c>
      <c r="BB50" s="23" t="s">
        <v>38</v>
      </c>
      <c r="BC50" s="23" t="s">
        <v>38</v>
      </c>
      <c r="BD50" s="23" t="s">
        <v>38</v>
      </c>
      <c r="BE50" s="23" t="s">
        <v>38</v>
      </c>
      <c r="BF50" s="23" t="s">
        <v>38</v>
      </c>
      <c r="BG50" s="23" t="s">
        <v>38</v>
      </c>
      <c r="BH50" s="23" t="s">
        <v>38</v>
      </c>
      <c r="BI50" s="23" t="s">
        <v>38</v>
      </c>
      <c r="BJ50" s="23" t="s">
        <v>38</v>
      </c>
      <c r="BK50" s="23" t="s">
        <v>38</v>
      </c>
      <c r="BL50" s="23" t="s">
        <v>38</v>
      </c>
      <c r="BM50" s="23" t="s">
        <v>38</v>
      </c>
      <c r="BN50" s="23" t="s">
        <v>38</v>
      </c>
      <c r="BO50" s="23" t="s">
        <v>38</v>
      </c>
      <c r="BP50" s="23" t="s">
        <v>38</v>
      </c>
      <c r="BQ50" s="23" t="s">
        <v>38</v>
      </c>
      <c r="BR50" s="23" t="s">
        <v>38</v>
      </c>
      <c r="BS50" s="23" t="s">
        <v>38</v>
      </c>
      <c r="BT50" s="23" t="s">
        <v>38</v>
      </c>
      <c r="BU50" s="23" t="s">
        <v>38</v>
      </c>
      <c r="BV50" s="23" t="s">
        <v>38</v>
      </c>
      <c r="BW50" s="23" t="s">
        <v>38</v>
      </c>
      <c r="BX50" s="23" t="s">
        <v>38</v>
      </c>
      <c r="BY50" s="69" t="s">
        <v>38</v>
      </c>
      <c r="BZ50" s="69" t="s">
        <v>38</v>
      </c>
      <c r="CA50" s="86" t="s">
        <v>38</v>
      </c>
    </row>
    <row r="51" spans="1:79">
      <c r="A51" s="21">
        <v>42</v>
      </c>
      <c r="B51" s="83">
        <v>254379.907389</v>
      </c>
      <c r="C51" s="83">
        <v>4505630.6267799996</v>
      </c>
      <c r="D51" s="19" t="s">
        <v>38</v>
      </c>
      <c r="E51" s="19" t="s">
        <v>38</v>
      </c>
      <c r="F51" s="19" t="s">
        <v>38</v>
      </c>
      <c r="G51" s="19" t="s">
        <v>38</v>
      </c>
      <c r="H51" s="19" t="s">
        <v>38</v>
      </c>
      <c r="I51" s="19" t="s">
        <v>38</v>
      </c>
      <c r="J51" s="19" t="s">
        <v>38</v>
      </c>
      <c r="K51" s="19" t="s">
        <v>38</v>
      </c>
      <c r="L51" s="19" t="s">
        <v>38</v>
      </c>
      <c r="M51" s="19" t="s">
        <v>38</v>
      </c>
      <c r="N51" s="23" t="s">
        <v>38</v>
      </c>
      <c r="O51" s="23" t="s">
        <v>38</v>
      </c>
      <c r="P51" s="23" t="s">
        <v>38</v>
      </c>
      <c r="Q51" s="23" t="s">
        <v>38</v>
      </c>
      <c r="R51" s="23" t="s">
        <v>38</v>
      </c>
      <c r="S51" s="23" t="s">
        <v>38</v>
      </c>
      <c r="T51" s="23" t="s">
        <v>38</v>
      </c>
      <c r="U51" s="23" t="s">
        <v>38</v>
      </c>
      <c r="V51" s="23" t="s">
        <v>38</v>
      </c>
      <c r="W51" s="23" t="s">
        <v>38</v>
      </c>
      <c r="X51" s="23" t="s">
        <v>38</v>
      </c>
      <c r="Y51" s="23" t="s">
        <v>38</v>
      </c>
      <c r="Z51" s="23" t="s">
        <v>38</v>
      </c>
      <c r="AA51" s="23" t="s">
        <v>38</v>
      </c>
      <c r="AB51" s="23" t="s">
        <v>38</v>
      </c>
      <c r="AC51" s="23" t="s">
        <v>38</v>
      </c>
      <c r="AD51" s="23" t="s">
        <v>38</v>
      </c>
      <c r="AE51" s="23" t="s">
        <v>38</v>
      </c>
      <c r="AF51" s="23" t="s">
        <v>38</v>
      </c>
      <c r="AG51" s="23" t="s">
        <v>38</v>
      </c>
      <c r="AH51" s="23" t="s">
        <v>38</v>
      </c>
      <c r="AI51" s="23" t="s">
        <v>38</v>
      </c>
      <c r="AJ51" s="23" t="s">
        <v>38</v>
      </c>
      <c r="AK51" s="23" t="s">
        <v>38</v>
      </c>
      <c r="AL51" s="23" t="s">
        <v>38</v>
      </c>
      <c r="AM51" s="23" t="s">
        <v>38</v>
      </c>
      <c r="AN51" s="23" t="s">
        <v>38</v>
      </c>
      <c r="AO51" s="23" t="s">
        <v>38</v>
      </c>
      <c r="AP51" s="23" t="s">
        <v>38</v>
      </c>
      <c r="AQ51" s="23" t="s">
        <v>38</v>
      </c>
      <c r="AR51" s="23" t="s">
        <v>38</v>
      </c>
      <c r="AS51" s="23" t="s">
        <v>38</v>
      </c>
      <c r="AT51" s="23" t="s">
        <v>38</v>
      </c>
      <c r="AU51" s="23" t="s">
        <v>38</v>
      </c>
      <c r="AV51" s="23" t="s">
        <v>38</v>
      </c>
      <c r="AW51" s="23" t="s">
        <v>38</v>
      </c>
      <c r="AX51" s="23" t="s">
        <v>38</v>
      </c>
      <c r="AY51" s="23" t="s">
        <v>38</v>
      </c>
      <c r="AZ51" s="23" t="s">
        <v>38</v>
      </c>
      <c r="BA51" s="23" t="s">
        <v>38</v>
      </c>
      <c r="BB51" s="23" t="s">
        <v>38</v>
      </c>
      <c r="BC51" s="23" t="s">
        <v>38</v>
      </c>
      <c r="BD51" s="23" t="s">
        <v>38</v>
      </c>
      <c r="BE51" s="23" t="s">
        <v>38</v>
      </c>
      <c r="BF51" s="23" t="s">
        <v>38</v>
      </c>
      <c r="BG51" s="23" t="s">
        <v>38</v>
      </c>
      <c r="BH51" s="23" t="s">
        <v>38</v>
      </c>
      <c r="BI51" s="23" t="s">
        <v>38</v>
      </c>
      <c r="BJ51" s="23" t="s">
        <v>38</v>
      </c>
      <c r="BK51" s="23" t="s">
        <v>38</v>
      </c>
      <c r="BL51" s="23" t="s">
        <v>38</v>
      </c>
      <c r="BM51" s="23" t="s">
        <v>38</v>
      </c>
      <c r="BN51" s="23" t="s">
        <v>38</v>
      </c>
      <c r="BO51" s="23" t="s">
        <v>38</v>
      </c>
      <c r="BP51" s="23" t="s">
        <v>38</v>
      </c>
      <c r="BQ51" s="23" t="s">
        <v>38</v>
      </c>
      <c r="BR51" s="23" t="s">
        <v>38</v>
      </c>
      <c r="BS51" s="23" t="s">
        <v>38</v>
      </c>
      <c r="BT51" s="23" t="s">
        <v>38</v>
      </c>
      <c r="BU51" s="23" t="s">
        <v>38</v>
      </c>
      <c r="BV51" s="23" t="s">
        <v>38</v>
      </c>
      <c r="BW51" s="23" t="s">
        <v>38</v>
      </c>
      <c r="BX51" s="23" t="s">
        <v>38</v>
      </c>
      <c r="BY51" s="69" t="s">
        <v>38</v>
      </c>
      <c r="BZ51" s="69" t="s">
        <v>38</v>
      </c>
      <c r="CA51" s="86" t="s">
        <v>38</v>
      </c>
    </row>
    <row r="52" spans="1:79">
      <c r="A52" s="21">
        <v>43</v>
      </c>
      <c r="B52" s="83">
        <v>254361.50803699999</v>
      </c>
      <c r="C52" s="83">
        <v>4505641.8651099997</v>
      </c>
      <c r="D52" s="19" t="s">
        <v>38</v>
      </c>
      <c r="E52" s="19" t="s">
        <v>38</v>
      </c>
      <c r="F52" s="19" t="s">
        <v>38</v>
      </c>
      <c r="G52" s="19" t="s">
        <v>38</v>
      </c>
      <c r="H52" s="19" t="s">
        <v>38</v>
      </c>
      <c r="I52" s="19" t="s">
        <v>38</v>
      </c>
      <c r="J52" s="19" t="s">
        <v>38</v>
      </c>
      <c r="K52" s="19" t="s">
        <v>38</v>
      </c>
      <c r="L52" s="19" t="s">
        <v>38</v>
      </c>
      <c r="M52" s="19" t="s">
        <v>38</v>
      </c>
      <c r="N52" s="23" t="s">
        <v>38</v>
      </c>
      <c r="O52" s="23" t="s">
        <v>38</v>
      </c>
      <c r="P52" s="23" t="s">
        <v>38</v>
      </c>
      <c r="Q52" s="23" t="s">
        <v>38</v>
      </c>
      <c r="R52" s="23" t="s">
        <v>38</v>
      </c>
      <c r="S52" s="23" t="s">
        <v>38</v>
      </c>
      <c r="T52" s="23" t="s">
        <v>38</v>
      </c>
      <c r="U52" s="23" t="s">
        <v>38</v>
      </c>
      <c r="V52" s="23" t="s">
        <v>38</v>
      </c>
      <c r="W52" s="23" t="s">
        <v>38</v>
      </c>
      <c r="X52" s="23" t="s">
        <v>38</v>
      </c>
      <c r="Y52" s="23" t="s">
        <v>38</v>
      </c>
      <c r="Z52" s="23" t="s">
        <v>38</v>
      </c>
      <c r="AA52" s="23" t="s">
        <v>38</v>
      </c>
      <c r="AB52" s="23" t="s">
        <v>38</v>
      </c>
      <c r="AC52" s="23" t="s">
        <v>38</v>
      </c>
      <c r="AD52" s="23" t="s">
        <v>38</v>
      </c>
      <c r="AE52" s="23" t="s">
        <v>38</v>
      </c>
      <c r="AF52" s="23" t="s">
        <v>38</v>
      </c>
      <c r="AG52" s="23" t="s">
        <v>38</v>
      </c>
      <c r="AH52" s="23" t="s">
        <v>38</v>
      </c>
      <c r="AI52" s="23" t="s">
        <v>38</v>
      </c>
      <c r="AJ52" s="23" t="s">
        <v>38</v>
      </c>
      <c r="AK52" s="23" t="s">
        <v>38</v>
      </c>
      <c r="AL52" s="23" t="s">
        <v>38</v>
      </c>
      <c r="AM52" s="23" t="s">
        <v>38</v>
      </c>
      <c r="AN52" s="23" t="s">
        <v>38</v>
      </c>
      <c r="AO52" s="23" t="s">
        <v>38</v>
      </c>
      <c r="AP52" s="23" t="s">
        <v>38</v>
      </c>
      <c r="AQ52" s="23" t="s">
        <v>38</v>
      </c>
      <c r="AR52" s="23" t="s">
        <v>38</v>
      </c>
      <c r="AS52" s="23" t="s">
        <v>38</v>
      </c>
      <c r="AT52" s="23" t="s">
        <v>38</v>
      </c>
      <c r="AU52" s="23" t="s">
        <v>38</v>
      </c>
      <c r="AV52" s="23" t="s">
        <v>38</v>
      </c>
      <c r="AW52" s="23" t="s">
        <v>38</v>
      </c>
      <c r="AX52" s="23" t="s">
        <v>38</v>
      </c>
      <c r="AY52" s="23" t="s">
        <v>38</v>
      </c>
      <c r="AZ52" s="23" t="s">
        <v>38</v>
      </c>
      <c r="BA52" s="23" t="s">
        <v>38</v>
      </c>
      <c r="BB52" s="23" t="s">
        <v>38</v>
      </c>
      <c r="BC52" s="23" t="s">
        <v>38</v>
      </c>
      <c r="BD52" s="23" t="s">
        <v>38</v>
      </c>
      <c r="BE52" s="23" t="s">
        <v>38</v>
      </c>
      <c r="BF52" s="23" t="s">
        <v>38</v>
      </c>
      <c r="BG52" s="23" t="s">
        <v>38</v>
      </c>
      <c r="BH52" s="23" t="s">
        <v>38</v>
      </c>
      <c r="BI52" s="23" t="s">
        <v>38</v>
      </c>
      <c r="BJ52" s="23" t="s">
        <v>38</v>
      </c>
      <c r="BK52" s="23" t="s">
        <v>38</v>
      </c>
      <c r="BL52" s="23" t="s">
        <v>38</v>
      </c>
      <c r="BM52" s="23" t="s">
        <v>38</v>
      </c>
      <c r="BN52" s="23" t="s">
        <v>38</v>
      </c>
      <c r="BO52" s="23" t="s">
        <v>38</v>
      </c>
      <c r="BP52" s="23" t="s">
        <v>38</v>
      </c>
      <c r="BQ52" s="23" t="s">
        <v>38</v>
      </c>
      <c r="BR52" s="23" t="s">
        <v>38</v>
      </c>
      <c r="BS52" s="23" t="s">
        <v>38</v>
      </c>
      <c r="BT52" s="23" t="s">
        <v>38</v>
      </c>
      <c r="BU52" s="23" t="s">
        <v>38</v>
      </c>
      <c r="BV52" s="23" t="s">
        <v>38</v>
      </c>
      <c r="BW52" s="23" t="s">
        <v>38</v>
      </c>
      <c r="BX52" s="23" t="s">
        <v>38</v>
      </c>
      <c r="BY52" s="69" t="s">
        <v>38</v>
      </c>
      <c r="BZ52" s="69" t="s">
        <v>38</v>
      </c>
      <c r="CA52" s="86" t="s">
        <v>38</v>
      </c>
    </row>
    <row r="53" spans="1:79">
      <c r="A53" s="21">
        <v>44</v>
      </c>
      <c r="B53" s="82">
        <v>254358.81478300001</v>
      </c>
      <c r="C53" s="82">
        <v>4505658.5760300001</v>
      </c>
      <c r="D53" s="19">
        <v>0.16950000000000001</v>
      </c>
      <c r="E53" s="20">
        <v>0.22750000000000001</v>
      </c>
      <c r="F53" s="20">
        <v>0.183</v>
      </c>
      <c r="G53" s="20">
        <v>0.22</v>
      </c>
      <c r="H53" s="20">
        <v>0.20400000000000001</v>
      </c>
      <c r="I53" s="20">
        <v>0.14050000000000001</v>
      </c>
      <c r="J53" s="20">
        <v>0.113</v>
      </c>
      <c r="K53" s="20">
        <v>9.0499999999999997E-2</v>
      </c>
      <c r="L53" s="20">
        <v>0.13200000000000001</v>
      </c>
      <c r="M53" s="20">
        <v>0.08</v>
      </c>
      <c r="N53" s="16">
        <v>0.1585</v>
      </c>
      <c r="O53" s="16">
        <v>8.1500000000000003E-2</v>
      </c>
      <c r="P53" s="16">
        <v>8.5499999999999993E-2</v>
      </c>
      <c r="Q53" s="16">
        <v>0.21249999999999999</v>
      </c>
      <c r="R53" s="16">
        <v>0.156</v>
      </c>
      <c r="S53" s="16">
        <v>0.1905</v>
      </c>
      <c r="T53" s="24">
        <v>0.20699999999999999</v>
      </c>
      <c r="U53" s="24">
        <v>0.252</v>
      </c>
      <c r="V53" s="24">
        <v>0.20799999999999999</v>
      </c>
      <c r="W53" s="24">
        <v>0.187</v>
      </c>
      <c r="X53" s="24">
        <v>0.19400000000000001</v>
      </c>
      <c r="Y53" s="24">
        <v>0.19</v>
      </c>
      <c r="Z53" s="23">
        <v>0.17599999999999999</v>
      </c>
      <c r="AA53" s="24">
        <v>0.18099999999999999</v>
      </c>
      <c r="AB53" s="24">
        <v>0.19400000000000001</v>
      </c>
      <c r="AC53" s="24">
        <v>0.26900000000000002</v>
      </c>
      <c r="AD53" s="24">
        <v>0.26400000000000001</v>
      </c>
      <c r="AE53" s="24">
        <v>0.21199999999999999</v>
      </c>
      <c r="AF53" s="24">
        <v>0.13500000000000001</v>
      </c>
      <c r="AG53" s="24">
        <v>0.17199999999999999</v>
      </c>
      <c r="AH53" s="24">
        <v>0.10299999999999999</v>
      </c>
      <c r="AI53" s="24">
        <v>8.5000000000000006E-2</v>
      </c>
      <c r="AJ53" s="24">
        <v>0.10100000000000001</v>
      </c>
      <c r="AK53" s="24">
        <v>0.10199999999999999</v>
      </c>
      <c r="AL53" s="23" t="s">
        <v>38</v>
      </c>
      <c r="AM53" s="24">
        <v>0.158</v>
      </c>
      <c r="AN53" s="40">
        <v>0.107</v>
      </c>
      <c r="AO53" s="40">
        <v>0.11899999999999999</v>
      </c>
      <c r="AP53" s="40">
        <v>0.111</v>
      </c>
      <c r="AQ53" s="40">
        <v>0.16900000000000001</v>
      </c>
      <c r="AR53" s="40">
        <v>7.4999999999999997E-2</v>
      </c>
      <c r="AS53" s="40">
        <v>9.4E-2</v>
      </c>
      <c r="AT53" s="40">
        <v>0.12</v>
      </c>
      <c r="AU53" s="40">
        <v>3.6999999999999998E-2</v>
      </c>
      <c r="AV53" s="40">
        <v>9.8000000000000004E-2</v>
      </c>
      <c r="AW53" s="40">
        <v>9.1999999999999998E-2</v>
      </c>
      <c r="AX53" s="40">
        <v>3.2000000000000001E-2</v>
      </c>
      <c r="AY53" s="40">
        <v>0.06</v>
      </c>
      <c r="AZ53" s="40">
        <v>9.9000000000000005E-2</v>
      </c>
      <c r="BA53" s="40">
        <v>8.6999999999999994E-2</v>
      </c>
      <c r="BB53" s="49">
        <v>3.95E-2</v>
      </c>
      <c r="BC53" s="40">
        <v>0.13200000000000001</v>
      </c>
      <c r="BD53" s="23" t="s">
        <v>38</v>
      </c>
      <c r="BE53" s="23" t="s">
        <v>38</v>
      </c>
      <c r="BF53" s="23" t="s">
        <v>38</v>
      </c>
      <c r="BG53" s="40">
        <v>0.20950000000000002</v>
      </c>
      <c r="BH53" s="38">
        <v>0.23549999999999999</v>
      </c>
      <c r="BI53" s="39" t="s">
        <v>38</v>
      </c>
      <c r="BJ53" s="38">
        <v>0.184</v>
      </c>
      <c r="BK53" s="38">
        <v>0.156</v>
      </c>
      <c r="BL53" s="38">
        <v>0.20200000000000001</v>
      </c>
      <c r="BM53" s="38">
        <v>0.11</v>
      </c>
      <c r="BN53" s="40">
        <v>7.9000000000000001E-2</v>
      </c>
      <c r="BO53" s="40">
        <v>8.6499999999999994E-2</v>
      </c>
      <c r="BP53" s="38">
        <v>5.9499999999999997E-2</v>
      </c>
      <c r="BQ53" s="38">
        <v>0.10200000000000001</v>
      </c>
      <c r="BR53" s="41">
        <v>0.16399999999999998</v>
      </c>
      <c r="BS53" s="41">
        <v>0.1075</v>
      </c>
      <c r="BT53" s="41">
        <v>8.7499999999999994E-2</v>
      </c>
      <c r="BU53" s="42">
        <v>0.112</v>
      </c>
      <c r="BV53" s="41">
        <v>0.14200000000000002</v>
      </c>
      <c r="BW53" s="42">
        <v>9.4E-2</v>
      </c>
      <c r="BX53" s="42">
        <v>0.14249999999999999</v>
      </c>
      <c r="BY53" s="85">
        <f>(0.24+0.239)/2</f>
        <v>0.23949999999999999</v>
      </c>
      <c r="BZ53" s="85">
        <f>(0.299+0.363)/2</f>
        <v>0.33099999999999996</v>
      </c>
      <c r="CA53" s="87">
        <v>0.26700000000000002</v>
      </c>
    </row>
    <row r="54" spans="1:79">
      <c r="A54" s="21">
        <v>45</v>
      </c>
      <c r="B54" s="82">
        <v>254403.621078</v>
      </c>
      <c r="C54" s="82">
        <v>4505611.4397299998</v>
      </c>
      <c r="D54" s="19">
        <v>0.22700000000000001</v>
      </c>
      <c r="E54" s="20">
        <v>0.24049999999999999</v>
      </c>
      <c r="F54" s="20">
        <v>0.28649999999999998</v>
      </c>
      <c r="G54" s="20">
        <v>0.27460000000000001</v>
      </c>
      <c r="H54" s="20">
        <v>0.2485</v>
      </c>
      <c r="I54" s="20">
        <v>0.192</v>
      </c>
      <c r="J54" s="20">
        <v>0.18</v>
      </c>
      <c r="K54" s="20">
        <v>0.13150000000000001</v>
      </c>
      <c r="L54" s="20">
        <v>0.152</v>
      </c>
      <c r="M54" s="20">
        <v>0.13300000000000001</v>
      </c>
      <c r="N54" s="16">
        <v>0.16950000000000001</v>
      </c>
      <c r="O54" s="16">
        <v>0.1265</v>
      </c>
      <c r="P54" s="16">
        <v>0.13200000000000001</v>
      </c>
      <c r="Q54" s="16">
        <v>0.2135</v>
      </c>
      <c r="R54" s="16">
        <v>0.218</v>
      </c>
      <c r="S54" s="16">
        <v>0.21299999999999999</v>
      </c>
      <c r="T54" s="24">
        <v>0.26600000000000001</v>
      </c>
      <c r="U54" s="24">
        <v>0.27</v>
      </c>
      <c r="V54" s="24">
        <v>0.28299999999999997</v>
      </c>
      <c r="W54" s="24">
        <v>0.3</v>
      </c>
      <c r="X54" s="24">
        <v>0.28999999999999998</v>
      </c>
      <c r="Y54" s="24">
        <v>0.27400000000000002</v>
      </c>
      <c r="Z54" s="23">
        <v>0.28699999999999998</v>
      </c>
      <c r="AA54" s="24">
        <v>0.28399999999999997</v>
      </c>
      <c r="AB54" s="24">
        <v>0.29399999999999998</v>
      </c>
      <c r="AC54" s="24">
        <v>0.3</v>
      </c>
      <c r="AD54" s="24">
        <v>0.26400000000000001</v>
      </c>
      <c r="AE54" s="24">
        <v>0.23400000000000001</v>
      </c>
      <c r="AF54" s="24">
        <v>0.19500000000000001</v>
      </c>
      <c r="AG54" s="24">
        <v>0.19700000000000001</v>
      </c>
      <c r="AH54" s="24">
        <v>0.14199999999999999</v>
      </c>
      <c r="AI54" s="24">
        <v>0.18099999999999999</v>
      </c>
      <c r="AJ54" s="24">
        <v>0.153</v>
      </c>
      <c r="AK54" s="24">
        <v>0.13700000000000001</v>
      </c>
      <c r="AL54" s="23" t="s">
        <v>38</v>
      </c>
      <c r="AM54" s="24">
        <v>0.28499999999999998</v>
      </c>
      <c r="AN54" s="40">
        <v>0.23699999999999999</v>
      </c>
      <c r="AO54" s="40">
        <v>0.183</v>
      </c>
      <c r="AP54" s="40">
        <v>0.22</v>
      </c>
      <c r="AQ54" s="40">
        <v>0.2145</v>
      </c>
      <c r="AR54" s="40">
        <v>0.2</v>
      </c>
      <c r="AS54" s="40">
        <v>0.184</v>
      </c>
      <c r="AT54" s="40">
        <v>0.19600000000000001</v>
      </c>
      <c r="AU54" s="40">
        <v>0.158</v>
      </c>
      <c r="AV54" s="40">
        <v>0.14899999999999999</v>
      </c>
      <c r="AW54" s="40">
        <v>0.14799999999999999</v>
      </c>
      <c r="AX54" s="40">
        <v>0.13600000000000001</v>
      </c>
      <c r="AY54" s="40">
        <v>0.21</v>
      </c>
      <c r="AZ54" s="40">
        <v>0.20100000000000001</v>
      </c>
      <c r="BA54" s="40">
        <v>0.23499999999999999</v>
      </c>
      <c r="BB54" s="49">
        <v>0.16349999999999998</v>
      </c>
      <c r="BC54" s="40">
        <v>0.19350000000000001</v>
      </c>
      <c r="BD54" s="23" t="s">
        <v>38</v>
      </c>
      <c r="BE54" s="23" t="s">
        <v>38</v>
      </c>
      <c r="BF54" s="23" t="s">
        <v>38</v>
      </c>
      <c r="BG54" s="40">
        <v>0.27600000000000002</v>
      </c>
      <c r="BH54" s="38">
        <v>0.2205</v>
      </c>
      <c r="BI54" s="38">
        <v>0.26700000000000002</v>
      </c>
      <c r="BJ54" s="38">
        <v>0.2225</v>
      </c>
      <c r="BK54" s="38">
        <v>0.245</v>
      </c>
      <c r="BL54" s="38">
        <v>0.2545</v>
      </c>
      <c r="BM54" s="38">
        <v>0.27050000000000002</v>
      </c>
      <c r="BN54" s="40">
        <v>0.2535</v>
      </c>
      <c r="BO54" s="40">
        <v>0.24249999999999999</v>
      </c>
      <c r="BP54" s="38">
        <v>0.2195</v>
      </c>
      <c r="BQ54" s="38">
        <v>0.16950000000000001</v>
      </c>
      <c r="BR54" s="41">
        <v>0.185</v>
      </c>
      <c r="BS54" s="23" t="s">
        <v>38</v>
      </c>
      <c r="BT54" s="41">
        <v>0.16399999999999998</v>
      </c>
      <c r="BU54" s="42" t="s">
        <v>38</v>
      </c>
      <c r="BV54" s="41">
        <v>0.161</v>
      </c>
      <c r="BW54" s="42">
        <v>0.19400000000000001</v>
      </c>
      <c r="BX54" s="42">
        <v>0.19600000000000001</v>
      </c>
      <c r="BY54" s="85">
        <f>(0.298+0.268)/2</f>
        <v>0.28300000000000003</v>
      </c>
      <c r="BZ54" s="85">
        <f>(0.392+0.354)/2</f>
        <v>0.373</v>
      </c>
      <c r="CA54" s="87">
        <v>0.27900000000000003</v>
      </c>
    </row>
    <row r="55" spans="1:79">
      <c r="A55" s="21">
        <v>46</v>
      </c>
      <c r="B55" s="82">
        <v>254407.499473</v>
      </c>
      <c r="C55" s="82">
        <v>4505609.5358499996</v>
      </c>
      <c r="D55" s="19">
        <v>0.20300000000000001</v>
      </c>
      <c r="E55" s="20">
        <v>0.23449999999999999</v>
      </c>
      <c r="F55" s="20">
        <v>0.27050000000000002</v>
      </c>
      <c r="G55" s="20">
        <v>0.27049999999999996</v>
      </c>
      <c r="H55" s="20">
        <v>0.2535</v>
      </c>
      <c r="I55" s="20">
        <v>0.214</v>
      </c>
      <c r="J55" s="20">
        <v>0.19450000000000001</v>
      </c>
      <c r="K55" s="20">
        <v>0.13650000000000001</v>
      </c>
      <c r="L55" s="20">
        <v>0.13100000000000001</v>
      </c>
      <c r="M55" s="20">
        <v>0.122</v>
      </c>
      <c r="N55" s="16">
        <v>0.1825</v>
      </c>
      <c r="O55" s="16">
        <v>0.129</v>
      </c>
      <c r="P55" s="16">
        <v>0.13650000000000001</v>
      </c>
      <c r="Q55" s="16">
        <v>0.23299999999999998</v>
      </c>
      <c r="R55" s="16">
        <v>0.23</v>
      </c>
      <c r="S55" s="16">
        <v>0.27350000000000002</v>
      </c>
      <c r="T55" s="24">
        <v>0.21</v>
      </c>
      <c r="U55" s="24">
        <v>0.27300000000000002</v>
      </c>
      <c r="V55" s="24">
        <v>0.27500000000000002</v>
      </c>
      <c r="W55" s="24">
        <v>0.28399999999999997</v>
      </c>
      <c r="X55" s="24">
        <v>0.25900000000000001</v>
      </c>
      <c r="Y55" s="24">
        <v>0.23400000000000001</v>
      </c>
      <c r="Z55" s="23">
        <v>0.27100000000000002</v>
      </c>
      <c r="AA55" s="24">
        <v>0.29299999999999998</v>
      </c>
      <c r="AB55" s="24">
        <v>0.28299999999999997</v>
      </c>
      <c r="AC55" s="24">
        <v>0.27</v>
      </c>
      <c r="AD55" s="24">
        <v>0.27</v>
      </c>
      <c r="AE55" s="24">
        <v>0.26600000000000001</v>
      </c>
      <c r="AF55" s="24">
        <v>0.23100000000000001</v>
      </c>
      <c r="AG55" s="24">
        <v>0.20699999999999999</v>
      </c>
      <c r="AH55" s="24">
        <v>0.17100000000000001</v>
      </c>
      <c r="AI55" s="24">
        <v>0.20599999999999999</v>
      </c>
      <c r="AJ55" s="24">
        <v>0.157</v>
      </c>
      <c r="AK55" s="24">
        <v>0.11799999999999999</v>
      </c>
      <c r="AL55" s="23" t="s">
        <v>38</v>
      </c>
      <c r="AM55" s="24">
        <v>0.30499999999999999</v>
      </c>
      <c r="AN55" s="40">
        <v>0.23200000000000001</v>
      </c>
      <c r="AO55" s="40">
        <v>0.17699999999999999</v>
      </c>
      <c r="AP55" s="40">
        <v>0.17199999999999999</v>
      </c>
      <c r="AQ55" s="40">
        <v>0.22650000000000001</v>
      </c>
      <c r="AR55" s="40">
        <v>0.23100000000000001</v>
      </c>
      <c r="AS55" s="40">
        <v>0.216</v>
      </c>
      <c r="AT55" s="40">
        <v>0.21099999999999999</v>
      </c>
      <c r="AU55" s="40">
        <v>0.19400000000000001</v>
      </c>
      <c r="AV55" s="40">
        <v>0.16300000000000001</v>
      </c>
      <c r="AW55" s="40">
        <v>0.156</v>
      </c>
      <c r="AX55" s="40">
        <v>0.13900000000000001</v>
      </c>
      <c r="AY55" s="40">
        <v>0.24099999999999999</v>
      </c>
      <c r="AZ55" s="40">
        <v>0.23499999999999999</v>
      </c>
      <c r="BA55" s="40">
        <v>0.22600000000000001</v>
      </c>
      <c r="BB55" s="49">
        <v>0.17849999999999999</v>
      </c>
      <c r="BC55" s="40" t="s">
        <v>38</v>
      </c>
      <c r="BD55" s="23" t="s">
        <v>38</v>
      </c>
      <c r="BE55" s="23" t="s">
        <v>38</v>
      </c>
      <c r="BF55" s="23" t="s">
        <v>38</v>
      </c>
      <c r="BG55" s="40">
        <v>0.27050000000000002</v>
      </c>
      <c r="BH55" s="38">
        <v>0.23</v>
      </c>
      <c r="BI55" s="38">
        <v>0.251</v>
      </c>
      <c r="BJ55" s="38">
        <v>0.23749999999999999</v>
      </c>
      <c r="BK55" s="38">
        <v>0.24149999999999999</v>
      </c>
      <c r="BL55" s="38">
        <v>0.2515</v>
      </c>
      <c r="BM55" s="38">
        <v>0.248</v>
      </c>
      <c r="BN55" s="40">
        <v>0.26750000000000002</v>
      </c>
      <c r="BO55" s="40">
        <v>0.19550000000000001</v>
      </c>
      <c r="BP55" s="38">
        <v>0.218</v>
      </c>
      <c r="BQ55" s="38">
        <v>0.20550000000000002</v>
      </c>
      <c r="BR55" s="41">
        <v>0.2165</v>
      </c>
      <c r="BS55" s="23" t="s">
        <v>38</v>
      </c>
      <c r="BT55" s="41">
        <v>0.193</v>
      </c>
      <c r="BU55" s="42" t="s">
        <v>38</v>
      </c>
      <c r="BV55" s="41">
        <v>0.223</v>
      </c>
      <c r="BW55" s="42">
        <v>0.26349999999999996</v>
      </c>
      <c r="BX55" s="42">
        <v>0.20850000000000002</v>
      </c>
      <c r="BY55" s="85">
        <f>(0.301+0.308)/2</f>
        <v>0.30449999999999999</v>
      </c>
      <c r="BZ55" s="85">
        <f>(0.387+0.361)/2</f>
        <v>0.374</v>
      </c>
      <c r="CA55" s="87">
        <v>0.28749999999999998</v>
      </c>
    </row>
    <row r="56" spans="1:79">
      <c r="A56" s="21">
        <v>47</v>
      </c>
      <c r="B56" s="82">
        <v>254415.342535</v>
      </c>
      <c r="C56" s="82">
        <v>4505592.7560700001</v>
      </c>
      <c r="D56" s="19">
        <v>0.13</v>
      </c>
      <c r="E56" s="20">
        <v>0.189</v>
      </c>
      <c r="F56" s="20">
        <v>0.19550000000000001</v>
      </c>
      <c r="G56" s="20">
        <v>0.19550000000000001</v>
      </c>
      <c r="H56" s="20">
        <v>0.21049999999999999</v>
      </c>
      <c r="I56" s="20">
        <v>0.16</v>
      </c>
      <c r="J56" s="20">
        <v>0.14599999999999999</v>
      </c>
      <c r="K56" s="20">
        <v>0.1135</v>
      </c>
      <c r="L56" s="20">
        <v>0.23599999999999999</v>
      </c>
      <c r="M56" s="20">
        <v>0.106</v>
      </c>
      <c r="N56" s="16">
        <v>0.14050000000000001</v>
      </c>
      <c r="O56" s="16">
        <v>0.11649999999999999</v>
      </c>
      <c r="P56" s="16">
        <v>0.1195</v>
      </c>
      <c r="Q56" s="16">
        <v>0.155</v>
      </c>
      <c r="R56" s="16">
        <v>0.18099999999999999</v>
      </c>
      <c r="S56" s="16">
        <v>0.218</v>
      </c>
      <c r="T56" s="24">
        <v>0.20599999999999999</v>
      </c>
      <c r="U56" s="24">
        <v>0.158</v>
      </c>
      <c r="V56" s="24">
        <v>0.16300000000000001</v>
      </c>
      <c r="W56" s="24">
        <v>0.14599999999999999</v>
      </c>
      <c r="X56" s="24">
        <v>0.158</v>
      </c>
      <c r="Y56" s="24">
        <v>0.14299999999999999</v>
      </c>
      <c r="Z56" s="23">
        <v>0.158</v>
      </c>
      <c r="AA56" s="24">
        <v>0.161</v>
      </c>
      <c r="AB56" s="24">
        <v>0.17199999999999999</v>
      </c>
      <c r="AC56" s="24">
        <v>0.16900000000000001</v>
      </c>
      <c r="AD56" s="24">
        <v>0.16600000000000001</v>
      </c>
      <c r="AE56" s="24">
        <v>0.161</v>
      </c>
      <c r="AF56" s="24">
        <v>0.12</v>
      </c>
      <c r="AG56" s="24">
        <v>0.129</v>
      </c>
      <c r="AH56" s="24">
        <v>0.11600000000000001</v>
      </c>
      <c r="AI56" s="24">
        <v>0.107</v>
      </c>
      <c r="AJ56" s="24">
        <v>6.3E-2</v>
      </c>
      <c r="AK56" s="24">
        <v>9.4E-2</v>
      </c>
      <c r="AL56" s="23" t="s">
        <v>38</v>
      </c>
      <c r="AM56" s="24">
        <v>0.16900000000000001</v>
      </c>
      <c r="AN56" s="40">
        <v>0.151</v>
      </c>
      <c r="AO56" s="40">
        <v>0.13800000000000001</v>
      </c>
      <c r="AP56" s="40">
        <v>0.1</v>
      </c>
      <c r="AQ56" s="40">
        <v>0.157</v>
      </c>
      <c r="AR56" s="40">
        <v>0.151</v>
      </c>
      <c r="AS56" s="40">
        <v>0.159</v>
      </c>
      <c r="AT56" s="40">
        <v>0.16</v>
      </c>
      <c r="AU56" s="40">
        <v>0.14099999999999999</v>
      </c>
      <c r="AV56" s="40">
        <v>0.129</v>
      </c>
      <c r="AW56" s="40">
        <v>0.127</v>
      </c>
      <c r="AX56" s="40">
        <v>0.112</v>
      </c>
      <c r="AY56" s="40">
        <v>0.14699999999999999</v>
      </c>
      <c r="AZ56" s="40">
        <v>0.155</v>
      </c>
      <c r="BA56" s="40">
        <v>0.14299999999999999</v>
      </c>
      <c r="BB56" s="49">
        <v>0.1055</v>
      </c>
      <c r="BC56" s="40">
        <v>0.14650000000000002</v>
      </c>
      <c r="BD56" s="23" t="s">
        <v>38</v>
      </c>
      <c r="BE56" s="23" t="s">
        <v>38</v>
      </c>
      <c r="BF56" s="23" t="s">
        <v>38</v>
      </c>
      <c r="BG56" s="40">
        <v>0.1835</v>
      </c>
      <c r="BH56" s="38">
        <v>0.16650000000000001</v>
      </c>
      <c r="BI56" s="38">
        <v>0.17949999999999999</v>
      </c>
      <c r="BJ56" s="38">
        <v>0.161</v>
      </c>
      <c r="BK56" s="38">
        <v>9.5000000000000001E-2</v>
      </c>
      <c r="BL56" s="38">
        <v>0.16700000000000001</v>
      </c>
      <c r="BM56" s="38">
        <v>0.16400000000000001</v>
      </c>
      <c r="BN56" s="40">
        <v>0.1515</v>
      </c>
      <c r="BO56" s="40">
        <v>0.13650000000000001</v>
      </c>
      <c r="BP56" s="38">
        <v>0.1205</v>
      </c>
      <c r="BQ56" s="38">
        <v>0.1595</v>
      </c>
      <c r="BR56" s="41">
        <v>0.16850000000000001</v>
      </c>
      <c r="BS56" s="23" t="s">
        <v>38</v>
      </c>
      <c r="BT56" s="41">
        <v>0.154</v>
      </c>
      <c r="BU56" s="42" t="s">
        <v>38</v>
      </c>
      <c r="BV56" s="41">
        <v>0.18</v>
      </c>
      <c r="BW56" s="42">
        <v>0.17199999999999999</v>
      </c>
      <c r="BX56" s="42">
        <v>0.11</v>
      </c>
      <c r="BY56" s="85">
        <f>(0.254+0.267)/2</f>
        <v>0.26050000000000001</v>
      </c>
      <c r="BZ56" s="85">
        <f>(0.326+0.316)/2</f>
        <v>0.32100000000000001</v>
      </c>
      <c r="CA56" s="87">
        <v>0.2475</v>
      </c>
    </row>
    <row r="57" spans="1:79">
      <c r="A57" s="21">
        <v>48</v>
      </c>
      <c r="B57" s="82">
        <v>254410.90681099999</v>
      </c>
      <c r="C57" s="82">
        <v>4505631.4095900003</v>
      </c>
      <c r="D57" s="19" t="s">
        <v>38</v>
      </c>
      <c r="E57" s="19" t="s">
        <v>38</v>
      </c>
      <c r="F57" s="19" t="s">
        <v>38</v>
      </c>
      <c r="G57" s="19" t="s">
        <v>38</v>
      </c>
      <c r="H57" s="19" t="s">
        <v>38</v>
      </c>
      <c r="I57" s="19" t="s">
        <v>38</v>
      </c>
      <c r="J57" s="19" t="s">
        <v>38</v>
      </c>
      <c r="K57" s="19" t="s">
        <v>38</v>
      </c>
      <c r="L57" s="19" t="s">
        <v>38</v>
      </c>
      <c r="M57" s="19" t="s">
        <v>38</v>
      </c>
      <c r="N57" s="23" t="s">
        <v>38</v>
      </c>
      <c r="O57" s="23" t="s">
        <v>38</v>
      </c>
      <c r="P57" s="23" t="s">
        <v>38</v>
      </c>
      <c r="Q57" s="23" t="s">
        <v>38</v>
      </c>
      <c r="R57" s="23" t="s">
        <v>38</v>
      </c>
      <c r="S57" s="23" t="s">
        <v>38</v>
      </c>
      <c r="T57" s="23" t="s">
        <v>38</v>
      </c>
      <c r="U57" s="23" t="s">
        <v>38</v>
      </c>
      <c r="V57" s="23" t="s">
        <v>38</v>
      </c>
      <c r="W57" s="23" t="s">
        <v>38</v>
      </c>
      <c r="X57" s="23" t="s">
        <v>38</v>
      </c>
      <c r="Y57" s="23" t="s">
        <v>38</v>
      </c>
      <c r="Z57" s="23" t="s">
        <v>38</v>
      </c>
      <c r="AA57" s="23" t="s">
        <v>38</v>
      </c>
      <c r="AB57" s="23" t="s">
        <v>38</v>
      </c>
      <c r="AC57" s="23" t="s">
        <v>38</v>
      </c>
      <c r="AD57" s="23" t="s">
        <v>38</v>
      </c>
      <c r="AE57" s="23" t="s">
        <v>38</v>
      </c>
      <c r="AF57" s="23" t="s">
        <v>38</v>
      </c>
      <c r="AG57" s="23" t="s">
        <v>38</v>
      </c>
      <c r="AH57" s="23" t="s">
        <v>38</v>
      </c>
      <c r="AI57" s="23" t="s">
        <v>38</v>
      </c>
      <c r="AJ57" s="23" t="s">
        <v>38</v>
      </c>
      <c r="AK57" s="23" t="s">
        <v>38</v>
      </c>
      <c r="AL57" s="23" t="s">
        <v>38</v>
      </c>
      <c r="AM57" s="23" t="s">
        <v>38</v>
      </c>
      <c r="AN57" s="23" t="s">
        <v>38</v>
      </c>
      <c r="AO57" s="23" t="s">
        <v>38</v>
      </c>
      <c r="AP57" s="23" t="s">
        <v>38</v>
      </c>
      <c r="AQ57" s="23" t="s">
        <v>38</v>
      </c>
      <c r="AR57" s="23" t="s">
        <v>38</v>
      </c>
      <c r="AS57" s="23" t="s">
        <v>38</v>
      </c>
      <c r="AT57" s="23" t="s">
        <v>38</v>
      </c>
      <c r="AU57" s="23" t="s">
        <v>38</v>
      </c>
      <c r="AV57" s="23" t="s">
        <v>38</v>
      </c>
      <c r="AW57" s="23" t="s">
        <v>38</v>
      </c>
      <c r="AX57" s="23" t="s">
        <v>38</v>
      </c>
      <c r="AY57" s="23" t="s">
        <v>38</v>
      </c>
      <c r="AZ57" s="23" t="s">
        <v>38</v>
      </c>
      <c r="BA57" s="23" t="s">
        <v>38</v>
      </c>
      <c r="BB57" s="23" t="s">
        <v>38</v>
      </c>
      <c r="BC57" s="23" t="s">
        <v>38</v>
      </c>
      <c r="BD57" s="23" t="s">
        <v>38</v>
      </c>
      <c r="BE57" s="23" t="s">
        <v>38</v>
      </c>
      <c r="BF57" s="23" t="s">
        <v>38</v>
      </c>
      <c r="BG57" s="23" t="s">
        <v>38</v>
      </c>
      <c r="BH57" s="23" t="s">
        <v>38</v>
      </c>
      <c r="BI57" s="23" t="s">
        <v>38</v>
      </c>
      <c r="BJ57" s="23" t="s">
        <v>38</v>
      </c>
      <c r="BK57" s="23" t="s">
        <v>38</v>
      </c>
      <c r="BL57" s="23" t="s">
        <v>38</v>
      </c>
      <c r="BM57" s="23" t="s">
        <v>38</v>
      </c>
      <c r="BN57" s="23" t="s">
        <v>38</v>
      </c>
      <c r="BO57" s="23" t="s">
        <v>38</v>
      </c>
      <c r="BP57" s="23" t="s">
        <v>38</v>
      </c>
      <c r="BQ57" s="23" t="s">
        <v>38</v>
      </c>
      <c r="BR57" s="23" t="s">
        <v>38</v>
      </c>
      <c r="BS57" s="23" t="s">
        <v>38</v>
      </c>
      <c r="BT57" s="23" t="s">
        <v>38</v>
      </c>
      <c r="BU57" s="23" t="s">
        <v>38</v>
      </c>
      <c r="BV57" s="23" t="s">
        <v>38</v>
      </c>
      <c r="BW57" s="23" t="s">
        <v>38</v>
      </c>
      <c r="BX57" s="23" t="s">
        <v>38</v>
      </c>
      <c r="BY57" s="69" t="s">
        <v>38</v>
      </c>
      <c r="BZ57" s="69" t="s">
        <v>38</v>
      </c>
      <c r="CA57" s="86" t="s">
        <v>38</v>
      </c>
    </row>
    <row r="58" spans="1:79">
      <c r="A58" s="21">
        <v>49</v>
      </c>
      <c r="B58" s="83">
        <v>254409.04055599999</v>
      </c>
      <c r="C58" s="83">
        <v>4505680.3762499997</v>
      </c>
      <c r="D58" s="19" t="s">
        <v>38</v>
      </c>
      <c r="E58" s="19" t="s">
        <v>38</v>
      </c>
      <c r="F58" s="19" t="s">
        <v>38</v>
      </c>
      <c r="G58" s="19" t="s">
        <v>38</v>
      </c>
      <c r="H58" s="19" t="s">
        <v>38</v>
      </c>
      <c r="I58" s="19" t="s">
        <v>38</v>
      </c>
      <c r="J58" s="19" t="s">
        <v>38</v>
      </c>
      <c r="K58" s="19" t="s">
        <v>38</v>
      </c>
      <c r="L58" s="19" t="s">
        <v>38</v>
      </c>
      <c r="M58" s="19" t="s">
        <v>38</v>
      </c>
      <c r="N58" s="23" t="s">
        <v>38</v>
      </c>
      <c r="O58" s="23" t="s">
        <v>38</v>
      </c>
      <c r="P58" s="23" t="s">
        <v>38</v>
      </c>
      <c r="Q58" s="23" t="s">
        <v>38</v>
      </c>
      <c r="R58" s="23" t="s">
        <v>38</v>
      </c>
      <c r="S58" s="23" t="s">
        <v>38</v>
      </c>
      <c r="T58" s="23" t="s">
        <v>38</v>
      </c>
      <c r="U58" s="23" t="s">
        <v>38</v>
      </c>
      <c r="V58" s="23" t="s">
        <v>38</v>
      </c>
      <c r="W58" s="23" t="s">
        <v>38</v>
      </c>
      <c r="X58" s="23" t="s">
        <v>38</v>
      </c>
      <c r="Y58" s="23" t="s">
        <v>38</v>
      </c>
      <c r="Z58" s="23" t="s">
        <v>38</v>
      </c>
      <c r="AA58" s="23" t="s">
        <v>38</v>
      </c>
      <c r="AB58" s="23" t="s">
        <v>38</v>
      </c>
      <c r="AC58" s="23" t="s">
        <v>38</v>
      </c>
      <c r="AD58" s="23" t="s">
        <v>38</v>
      </c>
      <c r="AE58" s="23" t="s">
        <v>38</v>
      </c>
      <c r="AF58" s="23" t="s">
        <v>38</v>
      </c>
      <c r="AG58" s="23" t="s">
        <v>38</v>
      </c>
      <c r="AH58" s="23" t="s">
        <v>38</v>
      </c>
      <c r="AI58" s="23" t="s">
        <v>38</v>
      </c>
      <c r="AJ58" s="23" t="s">
        <v>38</v>
      </c>
      <c r="AK58" s="23" t="s">
        <v>38</v>
      </c>
      <c r="AL58" s="23" t="s">
        <v>38</v>
      </c>
      <c r="AM58" s="23" t="s">
        <v>38</v>
      </c>
      <c r="AN58" s="23" t="s">
        <v>38</v>
      </c>
      <c r="AO58" s="23" t="s">
        <v>38</v>
      </c>
      <c r="AP58" s="23" t="s">
        <v>38</v>
      </c>
      <c r="AQ58" s="23" t="s">
        <v>38</v>
      </c>
      <c r="AR58" s="23" t="s">
        <v>38</v>
      </c>
      <c r="AS58" s="23" t="s">
        <v>38</v>
      </c>
      <c r="AT58" s="23" t="s">
        <v>38</v>
      </c>
      <c r="AU58" s="23" t="s">
        <v>38</v>
      </c>
      <c r="AV58" s="23" t="s">
        <v>38</v>
      </c>
      <c r="AW58" s="23" t="s">
        <v>38</v>
      </c>
      <c r="AX58" s="23" t="s">
        <v>38</v>
      </c>
      <c r="AY58" s="23" t="s">
        <v>38</v>
      </c>
      <c r="AZ58" s="23" t="s">
        <v>38</v>
      </c>
      <c r="BA58" s="23" t="s">
        <v>38</v>
      </c>
      <c r="BB58" s="23" t="s">
        <v>38</v>
      </c>
      <c r="BC58" s="23" t="s">
        <v>38</v>
      </c>
      <c r="BD58" s="23" t="s">
        <v>38</v>
      </c>
      <c r="BE58" s="23" t="s">
        <v>38</v>
      </c>
      <c r="BF58" s="23" t="s">
        <v>38</v>
      </c>
      <c r="BG58" s="23" t="s">
        <v>38</v>
      </c>
      <c r="BH58" s="23" t="s">
        <v>38</v>
      </c>
      <c r="BI58" s="23" t="s">
        <v>38</v>
      </c>
      <c r="BJ58" s="23" t="s">
        <v>38</v>
      </c>
      <c r="BK58" s="23" t="s">
        <v>38</v>
      </c>
      <c r="BL58" s="23" t="s">
        <v>38</v>
      </c>
      <c r="BM58" s="23" t="s">
        <v>38</v>
      </c>
      <c r="BN58" s="23" t="s">
        <v>38</v>
      </c>
      <c r="BO58" s="23" t="s">
        <v>38</v>
      </c>
      <c r="BP58" s="23" t="s">
        <v>38</v>
      </c>
      <c r="BQ58" s="23" t="s">
        <v>38</v>
      </c>
      <c r="BR58" s="23" t="s">
        <v>38</v>
      </c>
      <c r="BS58" s="23" t="s">
        <v>38</v>
      </c>
      <c r="BT58" s="23" t="s">
        <v>38</v>
      </c>
      <c r="BU58" s="23" t="s">
        <v>38</v>
      </c>
      <c r="BV58" s="23" t="s">
        <v>38</v>
      </c>
      <c r="BW58" s="23" t="s">
        <v>38</v>
      </c>
      <c r="BX58" s="23" t="s">
        <v>38</v>
      </c>
      <c r="BY58" s="69" t="s">
        <v>38</v>
      </c>
      <c r="BZ58" s="69" t="s">
        <v>38</v>
      </c>
      <c r="CA58" s="86" t="s">
        <v>38</v>
      </c>
    </row>
    <row r="59" spans="1:79">
      <c r="A59" s="21">
        <v>50</v>
      </c>
      <c r="B59" s="82">
        <v>254459.96109699999</v>
      </c>
      <c r="C59" s="82">
        <v>4505611.5409000004</v>
      </c>
      <c r="D59" s="19" t="s">
        <v>38</v>
      </c>
      <c r="E59" s="19" t="s">
        <v>38</v>
      </c>
      <c r="F59" s="19" t="s">
        <v>38</v>
      </c>
      <c r="G59" s="19" t="s">
        <v>38</v>
      </c>
      <c r="H59" s="19" t="s">
        <v>38</v>
      </c>
      <c r="I59" s="19" t="s">
        <v>38</v>
      </c>
      <c r="J59" s="19" t="s">
        <v>38</v>
      </c>
      <c r="K59" s="19" t="s">
        <v>38</v>
      </c>
      <c r="L59" s="19" t="s">
        <v>38</v>
      </c>
      <c r="M59" s="19" t="s">
        <v>38</v>
      </c>
      <c r="N59" s="23" t="s">
        <v>38</v>
      </c>
      <c r="O59" s="23" t="s">
        <v>38</v>
      </c>
      <c r="P59" s="23" t="s">
        <v>38</v>
      </c>
      <c r="Q59" s="23" t="s">
        <v>38</v>
      </c>
      <c r="R59" s="23" t="s">
        <v>38</v>
      </c>
      <c r="S59" s="23" t="s">
        <v>38</v>
      </c>
      <c r="T59" s="23" t="s">
        <v>38</v>
      </c>
      <c r="U59" s="23" t="s">
        <v>38</v>
      </c>
      <c r="V59" s="23" t="s">
        <v>38</v>
      </c>
      <c r="W59" s="23" t="s">
        <v>38</v>
      </c>
      <c r="X59" s="23" t="s">
        <v>38</v>
      </c>
      <c r="Y59" s="23" t="s">
        <v>38</v>
      </c>
      <c r="Z59" s="23" t="s">
        <v>38</v>
      </c>
      <c r="AA59" s="23" t="s">
        <v>38</v>
      </c>
      <c r="AB59" s="23" t="s">
        <v>38</v>
      </c>
      <c r="AC59" s="23" t="s">
        <v>38</v>
      </c>
      <c r="AD59" s="23" t="s">
        <v>38</v>
      </c>
      <c r="AE59" s="23" t="s">
        <v>38</v>
      </c>
      <c r="AF59" s="23" t="s">
        <v>38</v>
      </c>
      <c r="AG59" s="23" t="s">
        <v>38</v>
      </c>
      <c r="AH59" s="23" t="s">
        <v>38</v>
      </c>
      <c r="AI59" s="23" t="s">
        <v>38</v>
      </c>
      <c r="AJ59" s="23" t="s">
        <v>38</v>
      </c>
      <c r="AK59" s="23" t="s">
        <v>38</v>
      </c>
      <c r="AL59" s="23" t="s">
        <v>38</v>
      </c>
      <c r="AM59" s="23" t="s">
        <v>38</v>
      </c>
      <c r="AN59" s="40" t="s">
        <v>38</v>
      </c>
      <c r="AO59" s="40">
        <v>0.22700000000000001</v>
      </c>
      <c r="AP59" s="23" t="s">
        <v>38</v>
      </c>
      <c r="AQ59" s="23" t="s">
        <v>38</v>
      </c>
      <c r="AR59" s="23" t="s">
        <v>38</v>
      </c>
      <c r="AS59" s="40">
        <v>0.28499999999999998</v>
      </c>
      <c r="AT59" s="40" t="s">
        <v>38</v>
      </c>
      <c r="AU59" s="40">
        <v>0.26500000000000001</v>
      </c>
      <c r="AV59" s="40" t="s">
        <v>38</v>
      </c>
      <c r="AW59" s="40" t="s">
        <v>38</v>
      </c>
      <c r="AX59" s="40">
        <v>0.20499999999999999</v>
      </c>
      <c r="AY59" s="39" t="s">
        <v>38</v>
      </c>
      <c r="AZ59" s="39" t="s">
        <v>38</v>
      </c>
      <c r="BA59" s="40">
        <v>0.22700000000000001</v>
      </c>
      <c r="BB59" s="23" t="s">
        <v>38</v>
      </c>
      <c r="BC59" s="23" t="s">
        <v>38</v>
      </c>
      <c r="BD59" s="23" t="s">
        <v>38</v>
      </c>
      <c r="BE59" s="23" t="s">
        <v>38</v>
      </c>
      <c r="BF59" s="23" t="s">
        <v>38</v>
      </c>
      <c r="BG59" s="40">
        <v>0.34099999999999997</v>
      </c>
      <c r="BH59" s="23" t="s">
        <v>38</v>
      </c>
      <c r="BI59" s="23" t="s">
        <v>38</v>
      </c>
      <c r="BJ59" s="23" t="s">
        <v>38</v>
      </c>
      <c r="BK59" s="23" t="s">
        <v>38</v>
      </c>
      <c r="BL59" s="23" t="s">
        <v>38</v>
      </c>
      <c r="BM59" s="23" t="s">
        <v>38</v>
      </c>
      <c r="BN59" s="23" t="s">
        <v>38</v>
      </c>
      <c r="BO59" s="23" t="s">
        <v>38</v>
      </c>
      <c r="BP59" s="23" t="s">
        <v>38</v>
      </c>
      <c r="BQ59" s="23" t="s">
        <v>38</v>
      </c>
      <c r="BR59" s="23" t="s">
        <v>38</v>
      </c>
      <c r="BS59" s="23" t="s">
        <v>38</v>
      </c>
      <c r="BT59" s="23" t="s">
        <v>38</v>
      </c>
      <c r="BU59" s="23" t="s">
        <v>38</v>
      </c>
      <c r="BV59" s="23" t="s">
        <v>38</v>
      </c>
      <c r="BW59" s="23" t="s">
        <v>38</v>
      </c>
      <c r="BX59" s="23" t="s">
        <v>38</v>
      </c>
      <c r="BY59" s="69" t="s">
        <v>38</v>
      </c>
      <c r="BZ59" s="69" t="s">
        <v>38</v>
      </c>
      <c r="CA59" s="86" t="s">
        <v>38</v>
      </c>
    </row>
    <row r="60" spans="1:79">
      <c r="A60" s="21">
        <v>51</v>
      </c>
      <c r="B60" s="82">
        <v>254457.91333000001</v>
      </c>
      <c r="C60" s="82">
        <v>4505621.1563900001</v>
      </c>
      <c r="D60" s="19">
        <v>0.24249999999999999</v>
      </c>
      <c r="E60" s="20">
        <v>0.247</v>
      </c>
      <c r="F60" s="20" t="s">
        <v>38</v>
      </c>
      <c r="G60" s="20">
        <v>0.26200000000000001</v>
      </c>
      <c r="H60" s="20">
        <v>0.2555</v>
      </c>
      <c r="I60" s="20">
        <v>0.22700000000000001</v>
      </c>
      <c r="J60" s="20">
        <v>0.187</v>
      </c>
      <c r="K60" s="20">
        <v>0.14200000000000002</v>
      </c>
      <c r="L60" s="20" t="s">
        <v>38</v>
      </c>
      <c r="M60" s="20" t="s">
        <v>38</v>
      </c>
      <c r="N60" s="23" t="s">
        <v>38</v>
      </c>
      <c r="O60" s="23" t="s">
        <v>38</v>
      </c>
      <c r="P60" s="23" t="s">
        <v>38</v>
      </c>
      <c r="Q60" s="23" t="s">
        <v>38</v>
      </c>
      <c r="R60" s="23" t="s">
        <v>38</v>
      </c>
      <c r="S60" s="23" t="s">
        <v>38</v>
      </c>
      <c r="T60" s="23">
        <v>0.28399999999999997</v>
      </c>
      <c r="U60" s="23">
        <v>0.25800000000000001</v>
      </c>
      <c r="V60" s="23" t="s">
        <v>38</v>
      </c>
      <c r="W60" s="23">
        <v>0.27700000000000002</v>
      </c>
      <c r="X60" s="23">
        <v>0.27200000000000002</v>
      </c>
      <c r="Y60" s="23">
        <v>0.29799999999999999</v>
      </c>
      <c r="Z60" s="23">
        <v>0.26200000000000001</v>
      </c>
      <c r="AA60" s="23">
        <v>0.27300000000000002</v>
      </c>
      <c r="AB60" s="23">
        <v>0.30399999999999999</v>
      </c>
      <c r="AC60" s="24">
        <v>0.28299999999999997</v>
      </c>
      <c r="AD60" s="24">
        <v>0.27</v>
      </c>
      <c r="AE60" s="24">
        <v>0.26800000000000002</v>
      </c>
      <c r="AF60" s="24">
        <v>0.22800000000000001</v>
      </c>
      <c r="AG60" s="24">
        <v>0.19500000000000001</v>
      </c>
      <c r="AH60" s="24">
        <v>0.17599999999999999</v>
      </c>
      <c r="AI60" s="24">
        <v>0.17799999999999999</v>
      </c>
      <c r="AJ60" s="24">
        <v>0.17100000000000001</v>
      </c>
      <c r="AK60" s="24">
        <v>0.154</v>
      </c>
      <c r="AL60" s="24">
        <v>0.26900000000000002</v>
      </c>
      <c r="AM60" s="24">
        <v>0.28799999999999998</v>
      </c>
      <c r="AN60" s="40">
        <v>0.20899999999999999</v>
      </c>
      <c r="AO60" s="40">
        <v>0.186</v>
      </c>
      <c r="AP60" s="40">
        <v>0.218</v>
      </c>
      <c r="AQ60" s="40">
        <v>0.24099999999999999</v>
      </c>
      <c r="AR60" s="40">
        <v>0.23799999999999999</v>
      </c>
      <c r="AS60" s="40">
        <v>0.224</v>
      </c>
      <c r="AT60" s="40">
        <v>0.247</v>
      </c>
      <c r="AU60" s="40">
        <v>0.20499999999999999</v>
      </c>
      <c r="AV60" s="40">
        <v>0.16300000000000001</v>
      </c>
      <c r="AW60" s="40">
        <v>0.152</v>
      </c>
      <c r="AX60" s="40">
        <v>0.14299999999999999</v>
      </c>
      <c r="AY60" s="40">
        <v>0.245</v>
      </c>
      <c r="AZ60" s="40">
        <v>0.23599999999999999</v>
      </c>
      <c r="BA60" s="40">
        <v>0.217</v>
      </c>
      <c r="BB60" s="49">
        <v>0.184</v>
      </c>
      <c r="BC60" s="40">
        <v>0.22</v>
      </c>
      <c r="BD60" s="50">
        <v>0.25900000000000001</v>
      </c>
      <c r="BE60" s="50">
        <v>0.25950000000000001</v>
      </c>
      <c r="BF60" s="50">
        <v>0.1885</v>
      </c>
      <c r="BG60" s="40">
        <v>0.26400000000000001</v>
      </c>
      <c r="BH60" s="38">
        <v>0.24149999999999999</v>
      </c>
      <c r="BI60" s="38">
        <v>0.25650000000000001</v>
      </c>
      <c r="BJ60" s="38">
        <v>0.23149999999999998</v>
      </c>
      <c r="BK60" s="38">
        <v>0.22950000000000001</v>
      </c>
      <c r="BL60" s="38">
        <v>0.2465</v>
      </c>
      <c r="BM60" s="38">
        <v>0.23300000000000001</v>
      </c>
      <c r="BN60" s="40">
        <v>0.24199999999999999</v>
      </c>
      <c r="BO60" s="40">
        <v>0.2485</v>
      </c>
      <c r="BP60" s="38">
        <v>0.23699999999999999</v>
      </c>
      <c r="BQ60" s="38">
        <v>0.19350000000000001</v>
      </c>
      <c r="BR60" s="41">
        <v>0.22800000000000001</v>
      </c>
      <c r="BS60" s="41">
        <v>0.19700000000000001</v>
      </c>
      <c r="BT60" s="41">
        <v>0.184</v>
      </c>
      <c r="BU60" s="42">
        <v>0.22700000000000001</v>
      </c>
      <c r="BV60" s="41">
        <v>0.1885</v>
      </c>
      <c r="BW60" s="42" t="s">
        <v>38</v>
      </c>
      <c r="BX60" s="42" t="s">
        <v>38</v>
      </c>
      <c r="BY60" s="85">
        <f>(0.3+0.284)/2</f>
        <v>0.29199999999999998</v>
      </c>
      <c r="BZ60" s="85">
        <f>(0.387+0.369)/2</f>
        <v>0.378</v>
      </c>
      <c r="CA60" s="87">
        <v>0.28949999999999998</v>
      </c>
    </row>
    <row r="61" spans="1:79">
      <c r="A61" s="21" t="s">
        <v>14</v>
      </c>
      <c r="B61" s="82">
        <v>254459.08399399999</v>
      </c>
      <c r="C61" s="82">
        <v>4505622.0498400005</v>
      </c>
      <c r="D61" s="19">
        <v>0.20599999999999999</v>
      </c>
      <c r="E61" s="20">
        <v>0.28699999999999998</v>
      </c>
      <c r="F61" s="20">
        <v>0.26850000000000002</v>
      </c>
      <c r="G61" s="20">
        <v>0.27700000000000002</v>
      </c>
      <c r="H61" s="20">
        <v>0.28749999999999998</v>
      </c>
      <c r="I61" s="20">
        <v>0.255</v>
      </c>
      <c r="J61" s="20">
        <v>0.21249999999999999</v>
      </c>
      <c r="K61" s="20">
        <v>0.183</v>
      </c>
      <c r="L61" s="20">
        <v>0.17249999999999999</v>
      </c>
      <c r="M61" s="20">
        <v>0.14749999999999999</v>
      </c>
      <c r="N61" s="16">
        <v>0.18149999999999999</v>
      </c>
      <c r="O61" s="16">
        <v>0.16600000000000001</v>
      </c>
      <c r="P61" s="16">
        <v>0.18049999999999999</v>
      </c>
      <c r="Q61" s="16">
        <v>0.1855</v>
      </c>
      <c r="R61" s="16">
        <v>0.2235</v>
      </c>
      <c r="S61" s="16">
        <v>0.17849999999999999</v>
      </c>
      <c r="T61" s="24">
        <v>0.30599999999999999</v>
      </c>
      <c r="U61" s="24">
        <v>0.29499999999999998</v>
      </c>
      <c r="V61" s="23" t="s">
        <v>38</v>
      </c>
      <c r="W61" s="24">
        <v>0.28699999999999998</v>
      </c>
      <c r="X61" s="24">
        <v>0.30599999999999999</v>
      </c>
      <c r="Y61" s="24" t="s">
        <v>38</v>
      </c>
      <c r="Z61" s="23">
        <v>0.315</v>
      </c>
      <c r="AA61" s="24">
        <v>0.29599999999999999</v>
      </c>
      <c r="AB61" s="23" t="s">
        <v>38</v>
      </c>
      <c r="AC61" s="24">
        <v>0.317</v>
      </c>
      <c r="AD61" s="24">
        <v>0.27400000000000002</v>
      </c>
      <c r="AE61" s="23" t="s">
        <v>38</v>
      </c>
      <c r="AF61" s="24">
        <v>0.27400000000000002</v>
      </c>
      <c r="AG61" s="24">
        <v>0.21199999999999999</v>
      </c>
      <c r="AH61" s="24">
        <v>0.20399999999999999</v>
      </c>
      <c r="AI61" s="23" t="s">
        <v>38</v>
      </c>
      <c r="AJ61" s="23" t="s">
        <v>38</v>
      </c>
      <c r="AK61" s="24">
        <v>0.16800000000000001</v>
      </c>
      <c r="AL61" s="24">
        <v>0.183</v>
      </c>
      <c r="AM61" s="24">
        <v>0.308</v>
      </c>
      <c r="AN61" s="40">
        <v>0.23100000000000001</v>
      </c>
      <c r="AO61" s="40" t="s">
        <v>38</v>
      </c>
      <c r="AP61" s="40" t="s">
        <v>38</v>
      </c>
      <c r="AQ61" s="40">
        <v>0.25700000000000001</v>
      </c>
      <c r="AR61" s="40" t="s">
        <v>38</v>
      </c>
      <c r="AS61" s="40">
        <v>0.224</v>
      </c>
      <c r="AT61" s="40" t="s">
        <v>38</v>
      </c>
      <c r="AU61" s="40">
        <v>0.21199999999999999</v>
      </c>
      <c r="AV61" s="40" t="s">
        <v>38</v>
      </c>
      <c r="AW61" s="40" t="s">
        <v>38</v>
      </c>
      <c r="AX61" s="40" t="s">
        <v>38</v>
      </c>
      <c r="AY61" s="40">
        <v>0.28399999999999997</v>
      </c>
      <c r="AZ61" s="40">
        <v>0.24299999999999999</v>
      </c>
      <c r="BA61" s="40">
        <v>0.27300000000000002</v>
      </c>
      <c r="BB61" s="49">
        <v>0.16599999999999998</v>
      </c>
      <c r="BC61" s="40">
        <v>0.2185</v>
      </c>
      <c r="BD61" s="50">
        <v>0.21099999999999999</v>
      </c>
      <c r="BE61" s="50">
        <v>0.25</v>
      </c>
      <c r="BF61" s="50">
        <v>0.157</v>
      </c>
      <c r="BG61" s="40">
        <v>0.2495</v>
      </c>
      <c r="BH61" s="38" t="s">
        <v>38</v>
      </c>
      <c r="BI61" s="38" t="s">
        <v>38</v>
      </c>
      <c r="BJ61" s="38" t="s">
        <v>38</v>
      </c>
      <c r="BK61" s="38">
        <v>0.27850000000000003</v>
      </c>
      <c r="BL61" s="38" t="s">
        <v>38</v>
      </c>
      <c r="BM61" s="38" t="s">
        <v>38</v>
      </c>
      <c r="BN61" s="38" t="s">
        <v>38</v>
      </c>
      <c r="BO61" s="38" t="s">
        <v>38</v>
      </c>
      <c r="BP61" s="38" t="s">
        <v>38</v>
      </c>
      <c r="BQ61" s="38">
        <v>0.19700000000000001</v>
      </c>
      <c r="BR61" s="41">
        <v>0.20950000000000002</v>
      </c>
      <c r="BS61" s="41">
        <v>0.19450000000000001</v>
      </c>
      <c r="BT61" s="41">
        <v>0.193</v>
      </c>
      <c r="BU61" s="42">
        <v>0.1915</v>
      </c>
      <c r="BV61" s="41" t="s">
        <v>38</v>
      </c>
      <c r="BW61" s="42">
        <v>0.22550000000000001</v>
      </c>
      <c r="BX61" s="42" t="s">
        <v>38</v>
      </c>
      <c r="BY61" s="85">
        <f>(0.265+0.245)/2</f>
        <v>0.255</v>
      </c>
      <c r="BZ61" s="85">
        <f>(0.339+0.361)/2</f>
        <v>0.35</v>
      </c>
      <c r="CA61" s="87">
        <v>0.26900000000000002</v>
      </c>
    </row>
    <row r="62" spans="1:79">
      <c r="A62" s="21" t="s">
        <v>15</v>
      </c>
      <c r="B62" s="82">
        <v>254458.677084</v>
      </c>
      <c r="C62" s="82">
        <v>4505620.2194800004</v>
      </c>
      <c r="D62" s="19">
        <v>0.25900000000000001</v>
      </c>
      <c r="E62" s="20">
        <v>0.25850000000000001</v>
      </c>
      <c r="F62" s="20">
        <v>0.2555</v>
      </c>
      <c r="G62" s="20">
        <v>0.28249999999999997</v>
      </c>
      <c r="H62" s="20">
        <v>0.29299999999999998</v>
      </c>
      <c r="I62" s="20">
        <v>0.22699999999999998</v>
      </c>
      <c r="J62" s="20">
        <v>0.18099999999999999</v>
      </c>
      <c r="K62" s="20">
        <v>0.14300000000000002</v>
      </c>
      <c r="L62" s="20">
        <v>0.2215</v>
      </c>
      <c r="M62" s="20">
        <v>0.14300000000000002</v>
      </c>
      <c r="N62" s="16">
        <v>0.20350000000000001</v>
      </c>
      <c r="O62" s="16">
        <v>0.128</v>
      </c>
      <c r="P62" s="23" t="s">
        <v>38</v>
      </c>
      <c r="Q62" s="16">
        <v>0.21299999999999999</v>
      </c>
      <c r="R62" s="23" t="s">
        <v>38</v>
      </c>
      <c r="S62" s="23" t="s">
        <v>38</v>
      </c>
      <c r="T62" s="24">
        <v>0.317</v>
      </c>
      <c r="U62" s="24">
        <v>0.33</v>
      </c>
      <c r="V62" s="23" t="s">
        <v>38</v>
      </c>
      <c r="W62" s="24">
        <v>0.35899999999999999</v>
      </c>
      <c r="X62" s="24">
        <v>0.314</v>
      </c>
      <c r="Y62" s="24" t="s">
        <v>38</v>
      </c>
      <c r="Z62" s="23">
        <v>0.311</v>
      </c>
      <c r="AA62" s="24">
        <v>0.33400000000000002</v>
      </c>
      <c r="AB62" s="23" t="s">
        <v>38</v>
      </c>
      <c r="AC62" s="24">
        <v>0.33800000000000002</v>
      </c>
      <c r="AD62" s="24">
        <v>0.34200000000000003</v>
      </c>
      <c r="AE62" s="23" t="s">
        <v>38</v>
      </c>
      <c r="AF62" s="24">
        <v>0.20300000000000001</v>
      </c>
      <c r="AG62" s="24">
        <v>0.21</v>
      </c>
      <c r="AH62" s="24">
        <v>0.16700000000000001</v>
      </c>
      <c r="AI62" s="23" t="s">
        <v>38</v>
      </c>
      <c r="AJ62" s="23" t="s">
        <v>38</v>
      </c>
      <c r="AK62" s="24">
        <v>0.17</v>
      </c>
      <c r="AL62" s="24">
        <v>0.33100000000000002</v>
      </c>
      <c r="AM62" s="24">
        <v>0.33500000000000002</v>
      </c>
      <c r="AN62" s="40">
        <v>0.23</v>
      </c>
      <c r="AO62" s="40" t="s">
        <v>38</v>
      </c>
      <c r="AP62" s="40" t="s">
        <v>38</v>
      </c>
      <c r="AQ62" s="40">
        <v>0.253</v>
      </c>
      <c r="AR62" s="40" t="s">
        <v>38</v>
      </c>
      <c r="AS62" s="40">
        <v>0.216</v>
      </c>
      <c r="AT62" s="40" t="s">
        <v>38</v>
      </c>
      <c r="AU62" s="40">
        <v>0.188</v>
      </c>
      <c r="AV62" s="40" t="s">
        <v>38</v>
      </c>
      <c r="AW62" s="40" t="s">
        <v>38</v>
      </c>
      <c r="AX62" s="40" t="s">
        <v>38</v>
      </c>
      <c r="AY62" s="40">
        <v>0.25</v>
      </c>
      <c r="AZ62" s="40">
        <v>0.223</v>
      </c>
      <c r="BA62" s="40">
        <v>0.26100000000000001</v>
      </c>
      <c r="BB62" s="49">
        <v>0.1905</v>
      </c>
      <c r="BC62" s="40">
        <v>0.24</v>
      </c>
      <c r="BD62" s="50">
        <v>0.29899999999999999</v>
      </c>
      <c r="BE62" s="50">
        <v>0.28899999999999998</v>
      </c>
      <c r="BF62" s="50">
        <v>0.193</v>
      </c>
      <c r="BG62" s="40">
        <v>0.2495</v>
      </c>
      <c r="BH62" s="38" t="s">
        <v>38</v>
      </c>
      <c r="BI62" s="38" t="s">
        <v>38</v>
      </c>
      <c r="BJ62" s="38" t="s">
        <v>38</v>
      </c>
      <c r="BK62" s="38">
        <v>0.28100000000000003</v>
      </c>
      <c r="BL62" s="38" t="s">
        <v>38</v>
      </c>
      <c r="BM62" s="38" t="s">
        <v>38</v>
      </c>
      <c r="BN62" s="38" t="s">
        <v>38</v>
      </c>
      <c r="BO62" s="38" t="s">
        <v>38</v>
      </c>
      <c r="BP62" s="38" t="s">
        <v>38</v>
      </c>
      <c r="BQ62" s="38">
        <v>0.1875</v>
      </c>
      <c r="BR62" s="41">
        <v>0.1915</v>
      </c>
      <c r="BS62" s="41">
        <v>0.189</v>
      </c>
      <c r="BT62" s="41">
        <v>0.16350000000000001</v>
      </c>
      <c r="BU62" s="42">
        <v>0.22650000000000001</v>
      </c>
      <c r="BV62" s="41" t="s">
        <v>38</v>
      </c>
      <c r="BW62" s="41" t="s">
        <v>38</v>
      </c>
      <c r="BX62" s="41" t="s">
        <v>38</v>
      </c>
      <c r="BY62" s="85">
        <f>(0.293+0.311)/2</f>
        <v>0.30199999999999999</v>
      </c>
      <c r="BZ62" s="85">
        <f>(0.392+0.423)/2</f>
        <v>0.40749999999999997</v>
      </c>
      <c r="CA62" s="87">
        <v>0.29849999999999999</v>
      </c>
    </row>
    <row r="63" spans="1:79">
      <c r="A63" s="21" t="s">
        <v>16</v>
      </c>
      <c r="B63" s="82">
        <v>254456.72850500001</v>
      </c>
      <c r="C63" s="82">
        <v>4505620.3603600003</v>
      </c>
      <c r="D63" s="19">
        <v>0.29449999999999998</v>
      </c>
      <c r="E63" s="20">
        <v>0.29449999999999998</v>
      </c>
      <c r="F63" s="20">
        <v>0.3095</v>
      </c>
      <c r="G63" s="20">
        <v>0.3155</v>
      </c>
      <c r="H63" s="20">
        <v>0.28149999999999997</v>
      </c>
      <c r="I63" s="20">
        <v>0.2175</v>
      </c>
      <c r="J63" s="20">
        <v>0.19500000000000001</v>
      </c>
      <c r="K63" s="20">
        <v>0.14549999999999999</v>
      </c>
      <c r="L63" s="20">
        <v>0.22</v>
      </c>
      <c r="M63" s="20">
        <v>0.13650000000000001</v>
      </c>
      <c r="N63" s="16">
        <v>0.1895</v>
      </c>
      <c r="O63" s="16">
        <v>0.13350000000000001</v>
      </c>
      <c r="P63" s="23" t="s">
        <v>38</v>
      </c>
      <c r="Q63" s="16">
        <v>0.216</v>
      </c>
      <c r="R63" s="23" t="s">
        <v>38</v>
      </c>
      <c r="S63" s="23" t="s">
        <v>38</v>
      </c>
      <c r="T63" s="24">
        <v>0.28399999999999997</v>
      </c>
      <c r="U63" s="24">
        <v>0.33900000000000002</v>
      </c>
      <c r="V63" s="23" t="s">
        <v>38</v>
      </c>
      <c r="W63" s="24">
        <v>0.36399999999999999</v>
      </c>
      <c r="X63" s="24">
        <v>0.29499999999999998</v>
      </c>
      <c r="Y63" s="24" t="s">
        <v>38</v>
      </c>
      <c r="Z63" s="23">
        <v>0.31</v>
      </c>
      <c r="AA63" s="24">
        <v>0.32700000000000001</v>
      </c>
      <c r="AB63" s="23" t="s">
        <v>38</v>
      </c>
      <c r="AC63" s="24">
        <v>0.314</v>
      </c>
      <c r="AD63" s="24">
        <v>0.29699999999999999</v>
      </c>
      <c r="AE63" s="23" t="s">
        <v>38</v>
      </c>
      <c r="AF63" s="24">
        <v>0.2</v>
      </c>
      <c r="AG63" s="24">
        <v>0.22700000000000001</v>
      </c>
      <c r="AH63" s="24">
        <v>0.17</v>
      </c>
      <c r="AI63" s="23" t="s">
        <v>38</v>
      </c>
      <c r="AJ63" s="24" t="s">
        <v>38</v>
      </c>
      <c r="AK63" s="24">
        <v>0.186</v>
      </c>
      <c r="AL63" s="24">
        <v>0.27900000000000003</v>
      </c>
      <c r="AM63" s="24">
        <v>0.38800000000000001</v>
      </c>
      <c r="AN63" s="40">
        <v>0.25900000000000001</v>
      </c>
      <c r="AO63" s="40" t="s">
        <v>38</v>
      </c>
      <c r="AP63" s="40" t="s">
        <v>38</v>
      </c>
      <c r="AQ63" s="40">
        <v>0.254</v>
      </c>
      <c r="AR63" s="40" t="s">
        <v>38</v>
      </c>
      <c r="AS63" s="40">
        <v>0.22900000000000001</v>
      </c>
      <c r="AT63" s="40" t="s">
        <v>38</v>
      </c>
      <c r="AU63" s="40">
        <v>0.188</v>
      </c>
      <c r="AV63" s="40" t="s">
        <v>38</v>
      </c>
      <c r="AW63" s="40" t="s">
        <v>38</v>
      </c>
      <c r="AX63" s="40" t="s">
        <v>38</v>
      </c>
      <c r="AY63" s="40">
        <v>0.23100000000000001</v>
      </c>
      <c r="AZ63" s="40">
        <v>0.16700000000000001</v>
      </c>
      <c r="BA63" s="40">
        <v>0.22</v>
      </c>
      <c r="BB63" s="49">
        <v>0.1905</v>
      </c>
      <c r="BC63" s="40">
        <v>0.2525</v>
      </c>
      <c r="BD63" s="50">
        <v>0.29849999999999999</v>
      </c>
      <c r="BE63" s="50">
        <v>0.28100000000000003</v>
      </c>
      <c r="BF63" s="50">
        <v>0.189</v>
      </c>
      <c r="BG63" s="40">
        <v>0.30449999999999999</v>
      </c>
      <c r="BH63" s="38" t="s">
        <v>38</v>
      </c>
      <c r="BI63" s="38" t="s">
        <v>38</v>
      </c>
      <c r="BJ63" s="38" t="s">
        <v>38</v>
      </c>
      <c r="BK63" s="38">
        <v>0.249</v>
      </c>
      <c r="BL63" s="38" t="s">
        <v>38</v>
      </c>
      <c r="BM63" s="38" t="s">
        <v>38</v>
      </c>
      <c r="BN63" s="38" t="s">
        <v>38</v>
      </c>
      <c r="BO63" s="38" t="s">
        <v>38</v>
      </c>
      <c r="BP63" s="38" t="s">
        <v>38</v>
      </c>
      <c r="BQ63" s="38">
        <v>0.17749999999999999</v>
      </c>
      <c r="BR63" s="41">
        <v>0.21</v>
      </c>
      <c r="BS63" s="41">
        <v>0.19</v>
      </c>
      <c r="BT63" s="41">
        <v>0.1895</v>
      </c>
      <c r="BU63" s="42">
        <v>0.218</v>
      </c>
      <c r="BV63" s="41" t="s">
        <v>38</v>
      </c>
      <c r="BW63" s="41" t="s">
        <v>38</v>
      </c>
      <c r="BX63" s="41" t="s">
        <v>38</v>
      </c>
      <c r="BY63" s="85">
        <f>(0.317+0.306)/2</f>
        <v>0.3115</v>
      </c>
      <c r="BZ63" s="85">
        <f>(0.396+0.404)/2</f>
        <v>0.4</v>
      </c>
      <c r="CA63" s="87">
        <v>0.27800000000000002</v>
      </c>
    </row>
    <row r="64" spans="1:79">
      <c r="A64" s="21" t="s">
        <v>17</v>
      </c>
      <c r="B64" s="82">
        <v>254457.14039799999</v>
      </c>
      <c r="C64" s="82">
        <v>4505622.2859399999</v>
      </c>
      <c r="D64" s="19">
        <v>0.26150000000000001</v>
      </c>
      <c r="E64" s="20">
        <v>0.21099999999999999</v>
      </c>
      <c r="F64" s="20">
        <v>0.23799999999999999</v>
      </c>
      <c r="G64" s="20">
        <v>0.23749999999999999</v>
      </c>
      <c r="H64" s="20">
        <v>0.23150000000000001</v>
      </c>
      <c r="I64" s="20">
        <v>0.17199999999999999</v>
      </c>
      <c r="J64" s="20">
        <v>0.14400000000000002</v>
      </c>
      <c r="K64" s="20">
        <v>0.1065</v>
      </c>
      <c r="L64" s="20">
        <v>0.1915</v>
      </c>
      <c r="M64" s="20">
        <v>0.10050000000000001</v>
      </c>
      <c r="N64" s="16">
        <v>0.14849999999999999</v>
      </c>
      <c r="O64" s="16">
        <v>0.1215</v>
      </c>
      <c r="P64" s="23" t="s">
        <v>38</v>
      </c>
      <c r="Q64" s="16">
        <v>0.16899999999999998</v>
      </c>
      <c r="R64" s="23" t="s">
        <v>38</v>
      </c>
      <c r="S64" s="23" t="s">
        <v>38</v>
      </c>
      <c r="T64" s="24">
        <v>0.23899999999999999</v>
      </c>
      <c r="U64" s="24">
        <v>0.24099999999999999</v>
      </c>
      <c r="V64" s="23" t="s">
        <v>38</v>
      </c>
      <c r="W64" s="24">
        <v>0.26400000000000001</v>
      </c>
      <c r="X64" s="24">
        <v>0.23</v>
      </c>
      <c r="Y64" s="24" t="s">
        <v>38</v>
      </c>
      <c r="Z64" s="23">
        <v>0.24399999999999999</v>
      </c>
      <c r="AA64" s="24">
        <v>0.24199999999999999</v>
      </c>
      <c r="AB64" s="23" t="s">
        <v>38</v>
      </c>
      <c r="AC64" s="24">
        <v>0.24</v>
      </c>
      <c r="AD64" s="24">
        <v>0.246</v>
      </c>
      <c r="AE64" s="23" t="s">
        <v>38</v>
      </c>
      <c r="AF64" s="24">
        <v>0.16200000000000001</v>
      </c>
      <c r="AG64" s="24">
        <v>0.16800000000000001</v>
      </c>
      <c r="AH64" s="24">
        <v>0.13900000000000001</v>
      </c>
      <c r="AI64" s="23" t="s">
        <v>38</v>
      </c>
      <c r="AJ64" s="24" t="s">
        <v>38</v>
      </c>
      <c r="AK64" s="24">
        <v>0.16600000000000001</v>
      </c>
      <c r="AL64" s="24">
        <v>0.24199999999999999</v>
      </c>
      <c r="AM64" s="24">
        <v>0.25</v>
      </c>
      <c r="AN64" s="40">
        <v>0.19900000000000001</v>
      </c>
      <c r="AO64" s="40" t="s">
        <v>38</v>
      </c>
      <c r="AP64" s="40" t="s">
        <v>38</v>
      </c>
      <c r="AQ64" s="40">
        <v>0.23499999999999999</v>
      </c>
      <c r="AR64" s="40" t="s">
        <v>38</v>
      </c>
      <c r="AS64" s="40">
        <v>0.189</v>
      </c>
      <c r="AT64" s="40" t="s">
        <v>38</v>
      </c>
      <c r="AU64" s="40">
        <v>0.156</v>
      </c>
      <c r="AV64" s="40" t="s">
        <v>38</v>
      </c>
      <c r="AW64" s="40" t="s">
        <v>38</v>
      </c>
      <c r="AX64" s="40" t="s">
        <v>38</v>
      </c>
      <c r="AY64" s="40">
        <v>0.13900000000000001</v>
      </c>
      <c r="AZ64" s="40">
        <v>0.13300000000000001</v>
      </c>
      <c r="BA64" s="40">
        <v>0.13800000000000001</v>
      </c>
      <c r="BB64" s="49">
        <v>0.13750000000000001</v>
      </c>
      <c r="BC64" s="40">
        <v>0.20499999999999999</v>
      </c>
      <c r="BD64" s="50">
        <v>0.23299999999999998</v>
      </c>
      <c r="BE64" s="50">
        <v>0.2195</v>
      </c>
      <c r="BF64" s="50">
        <v>0.13950000000000001</v>
      </c>
      <c r="BG64" s="40">
        <v>0.22950000000000001</v>
      </c>
      <c r="BH64" s="38" t="s">
        <v>38</v>
      </c>
      <c r="BI64" s="38" t="s">
        <v>38</v>
      </c>
      <c r="BJ64" s="38" t="s">
        <v>38</v>
      </c>
      <c r="BK64" s="38">
        <v>0.2205</v>
      </c>
      <c r="BL64" s="38" t="s">
        <v>38</v>
      </c>
      <c r="BM64" s="38" t="s">
        <v>38</v>
      </c>
      <c r="BN64" s="38" t="s">
        <v>38</v>
      </c>
      <c r="BO64" s="38" t="s">
        <v>38</v>
      </c>
      <c r="BP64" s="38" t="s">
        <v>38</v>
      </c>
      <c r="BQ64" s="38">
        <v>0.15</v>
      </c>
      <c r="BR64" s="41">
        <v>0.19900000000000001</v>
      </c>
      <c r="BS64" s="41">
        <v>0.151</v>
      </c>
      <c r="BT64" s="41">
        <v>0.14800000000000002</v>
      </c>
      <c r="BU64" s="42">
        <v>0.19550000000000001</v>
      </c>
      <c r="BV64" s="41" t="s">
        <v>38</v>
      </c>
      <c r="BW64" s="41" t="s">
        <v>38</v>
      </c>
      <c r="BX64" s="41" t="s">
        <v>38</v>
      </c>
      <c r="BY64" s="85">
        <f>(0.245+0.26)/2</f>
        <v>0.2525</v>
      </c>
      <c r="BZ64" s="85">
        <f>(0.308+0.333)/2</f>
        <v>0.32050000000000001</v>
      </c>
      <c r="CA64" s="87">
        <v>0.253</v>
      </c>
    </row>
    <row r="65" spans="1:79">
      <c r="A65" s="21">
        <v>52</v>
      </c>
      <c r="B65" s="82">
        <v>254458.46923300001</v>
      </c>
      <c r="C65" s="82">
        <v>4505643.4115500003</v>
      </c>
      <c r="D65" s="19">
        <v>0.252</v>
      </c>
      <c r="E65" s="20">
        <v>0.20150000000000001</v>
      </c>
      <c r="F65" s="20">
        <v>0.24199999999999999</v>
      </c>
      <c r="G65" s="20">
        <v>0.22849999999999998</v>
      </c>
      <c r="H65" s="19" t="s">
        <v>38</v>
      </c>
      <c r="I65" s="20">
        <v>0.192</v>
      </c>
      <c r="J65" s="20">
        <v>0.15</v>
      </c>
      <c r="K65" s="20">
        <v>0.1205</v>
      </c>
      <c r="L65" s="20">
        <v>0.14899999999999999</v>
      </c>
      <c r="M65" s="20">
        <v>0.10249999999999999</v>
      </c>
      <c r="N65" s="16">
        <v>0.1265</v>
      </c>
      <c r="O65" s="16">
        <v>0.1115</v>
      </c>
      <c r="P65" s="16">
        <v>0.1115</v>
      </c>
      <c r="Q65" s="16">
        <v>0.1535</v>
      </c>
      <c r="R65" s="16">
        <v>0.17199999999999999</v>
      </c>
      <c r="S65" s="16">
        <v>0.1605</v>
      </c>
      <c r="T65" s="24">
        <v>0.26100000000000001</v>
      </c>
      <c r="U65" s="24">
        <v>0.26400000000000001</v>
      </c>
      <c r="V65" s="23" t="s">
        <v>38</v>
      </c>
      <c r="W65" s="24">
        <v>0.28399999999999997</v>
      </c>
      <c r="X65" s="24">
        <v>0.25</v>
      </c>
      <c r="Y65" s="24">
        <v>0.217</v>
      </c>
      <c r="Z65" s="23">
        <v>0.26200000000000001</v>
      </c>
      <c r="AA65" s="24">
        <v>0.247</v>
      </c>
      <c r="AB65" s="24">
        <v>0.28199999999999997</v>
      </c>
      <c r="AC65" s="24">
        <v>0.26300000000000001</v>
      </c>
      <c r="AD65" s="24">
        <v>0.255</v>
      </c>
      <c r="AE65" s="24">
        <v>0.219</v>
      </c>
      <c r="AF65" s="24">
        <v>0.17199999999999999</v>
      </c>
      <c r="AG65" s="24">
        <v>0.152</v>
      </c>
      <c r="AH65" s="24">
        <v>0.14099999999999999</v>
      </c>
      <c r="AI65" s="24">
        <v>0.14499999999999999</v>
      </c>
      <c r="AJ65" s="24">
        <v>0.158</v>
      </c>
      <c r="AK65" s="24">
        <v>0.14899999999999999</v>
      </c>
      <c r="AL65" s="24">
        <v>0.249</v>
      </c>
      <c r="AM65" s="24">
        <v>0.26400000000000001</v>
      </c>
      <c r="AN65" s="40">
        <v>0.21299999999999999</v>
      </c>
      <c r="AO65" s="40">
        <v>0.17499999999999999</v>
      </c>
      <c r="AP65" s="40">
        <v>0.217</v>
      </c>
      <c r="AQ65" s="40">
        <v>0.17699999999999999</v>
      </c>
      <c r="AR65" s="40">
        <v>0.16200000000000001</v>
      </c>
      <c r="AS65" s="40">
        <v>0.16400000000000001</v>
      </c>
      <c r="AT65" s="40">
        <v>0.14299999999999999</v>
      </c>
      <c r="AU65" s="40">
        <v>0.13500000000000001</v>
      </c>
      <c r="AV65" s="40">
        <v>0.126</v>
      </c>
      <c r="AW65" s="40">
        <v>0.11600000000000001</v>
      </c>
      <c r="AX65" s="40">
        <v>0.107</v>
      </c>
      <c r="AY65" s="40">
        <v>0.223</v>
      </c>
      <c r="AZ65" s="40">
        <v>0.187</v>
      </c>
      <c r="BA65" s="40">
        <v>0.23599999999999999</v>
      </c>
      <c r="BB65" s="49">
        <v>0.109</v>
      </c>
      <c r="BC65" s="40">
        <v>0.1855</v>
      </c>
      <c r="BD65" s="50">
        <v>0.1515</v>
      </c>
      <c r="BE65" s="50" t="s">
        <v>38</v>
      </c>
      <c r="BF65" s="58" t="s">
        <v>38</v>
      </c>
      <c r="BG65" s="40">
        <v>0.20900000000000002</v>
      </c>
      <c r="BH65" s="38">
        <v>0.189</v>
      </c>
      <c r="BI65" s="38">
        <v>0.221</v>
      </c>
      <c r="BJ65" s="38">
        <v>0.2225</v>
      </c>
      <c r="BK65" s="38">
        <v>0.20649999999999999</v>
      </c>
      <c r="BL65" s="38">
        <v>0.20949999999999999</v>
      </c>
      <c r="BM65" s="38">
        <v>0.23250000000000001</v>
      </c>
      <c r="BN65" s="38" t="s">
        <v>38</v>
      </c>
      <c r="BO65" s="40">
        <v>0.24149999999999999</v>
      </c>
      <c r="BP65" s="38">
        <v>0.24149999999999999</v>
      </c>
      <c r="BQ65" s="38">
        <v>0.16</v>
      </c>
      <c r="BR65" s="41">
        <v>0.18149999999999999</v>
      </c>
      <c r="BS65" s="41">
        <v>0.16750000000000001</v>
      </c>
      <c r="BT65" s="41">
        <v>0.16350000000000001</v>
      </c>
      <c r="BU65" s="42">
        <v>0.156</v>
      </c>
      <c r="BV65" s="41">
        <v>0.13950000000000001</v>
      </c>
      <c r="BW65" s="42">
        <v>0.17599999999999999</v>
      </c>
      <c r="BX65" s="42" t="s">
        <v>38</v>
      </c>
      <c r="BY65" s="85">
        <f>(0.256+0.261)/2</f>
        <v>0.25850000000000001</v>
      </c>
      <c r="BZ65" s="85">
        <f>(0.35+0.358)/2</f>
        <v>0.35399999999999998</v>
      </c>
      <c r="CA65" s="87">
        <v>0.26250000000000001</v>
      </c>
    </row>
    <row r="66" spans="1:79">
      <c r="A66" s="21">
        <v>53</v>
      </c>
      <c r="B66" s="82">
        <v>254461.35652100001</v>
      </c>
      <c r="C66" s="82">
        <v>4505680.3409799999</v>
      </c>
      <c r="D66" s="19">
        <v>0.218</v>
      </c>
      <c r="E66" s="20">
        <v>0.249</v>
      </c>
      <c r="F66" s="20">
        <v>0.27200000000000002</v>
      </c>
      <c r="G66" s="20">
        <v>0.28100000000000003</v>
      </c>
      <c r="H66" s="20">
        <v>0.26400000000000001</v>
      </c>
      <c r="I66" s="20">
        <v>0.19</v>
      </c>
      <c r="J66" s="20">
        <v>0.1535</v>
      </c>
      <c r="K66" s="20">
        <v>0.1205</v>
      </c>
      <c r="L66" s="20" t="s">
        <v>38</v>
      </c>
      <c r="M66" s="20" t="s">
        <v>38</v>
      </c>
      <c r="N66" s="16" t="s">
        <v>38</v>
      </c>
      <c r="O66" s="16" t="s">
        <v>38</v>
      </c>
      <c r="P66" s="23" t="s">
        <v>38</v>
      </c>
      <c r="Q66" s="23" t="s">
        <v>38</v>
      </c>
      <c r="R66" s="23" t="s">
        <v>38</v>
      </c>
      <c r="S66" s="23" t="s">
        <v>38</v>
      </c>
      <c r="T66" s="23">
        <v>0.28399999999999997</v>
      </c>
      <c r="U66" s="23">
        <v>0.29099999999999998</v>
      </c>
      <c r="V66" s="23">
        <v>0.29599999999999999</v>
      </c>
      <c r="W66" s="23">
        <v>0.28499999999999998</v>
      </c>
      <c r="X66" s="23">
        <v>0.25</v>
      </c>
      <c r="Y66" s="23">
        <v>0.223</v>
      </c>
      <c r="Z66" s="23">
        <v>0.29399999999999998</v>
      </c>
      <c r="AA66" s="23">
        <v>0.30599999999999999</v>
      </c>
      <c r="AB66" s="23">
        <v>0.34499999999999997</v>
      </c>
      <c r="AC66" s="24">
        <v>0.28299999999999997</v>
      </c>
      <c r="AD66" s="24">
        <v>0.251</v>
      </c>
      <c r="AE66" s="24">
        <v>0.27200000000000002</v>
      </c>
      <c r="AF66" s="24">
        <v>0.19</v>
      </c>
      <c r="AG66" s="24">
        <v>0.184</v>
      </c>
      <c r="AH66" s="24">
        <v>0.155</v>
      </c>
      <c r="AI66" s="24">
        <v>0.16900000000000001</v>
      </c>
      <c r="AJ66" s="24">
        <v>0.153</v>
      </c>
      <c r="AK66" s="24">
        <v>0.15</v>
      </c>
      <c r="AL66" s="24">
        <v>0.32900000000000001</v>
      </c>
      <c r="AM66" s="24">
        <v>0.31</v>
      </c>
      <c r="AN66" s="40">
        <v>0.22800000000000001</v>
      </c>
      <c r="AO66" s="40">
        <v>0.20499999999999999</v>
      </c>
      <c r="AP66" s="40">
        <v>0.17100000000000001</v>
      </c>
      <c r="AQ66" s="40">
        <v>0.19</v>
      </c>
      <c r="AR66" s="40">
        <v>0.187</v>
      </c>
      <c r="AS66" s="40">
        <v>0.17499999999999999</v>
      </c>
      <c r="AT66" s="40">
        <v>0.16800000000000001</v>
      </c>
      <c r="AU66" s="40">
        <v>0.14499999999999999</v>
      </c>
      <c r="AV66" s="40">
        <v>0.13800000000000001</v>
      </c>
      <c r="AW66" s="40">
        <v>0.13100000000000001</v>
      </c>
      <c r="AX66" s="40">
        <v>0.13600000000000001</v>
      </c>
      <c r="AY66" s="40">
        <v>0.249</v>
      </c>
      <c r="AZ66" s="40">
        <v>0.222</v>
      </c>
      <c r="BA66" s="40">
        <v>0.248</v>
      </c>
      <c r="BB66" s="49">
        <v>0.16400000000000001</v>
      </c>
      <c r="BC66" s="40">
        <v>0.17849999999999999</v>
      </c>
      <c r="BD66" s="50">
        <v>0.26150000000000001</v>
      </c>
      <c r="BE66" s="50" t="s">
        <v>38</v>
      </c>
      <c r="BF66" s="58">
        <v>0.19800000000000001</v>
      </c>
      <c r="BG66" s="40">
        <v>0.28400000000000003</v>
      </c>
      <c r="BH66" s="38">
        <v>0.23549999999999999</v>
      </c>
      <c r="BI66" s="38">
        <v>0.2495</v>
      </c>
      <c r="BJ66" s="38">
        <v>0.26250000000000001</v>
      </c>
      <c r="BK66" s="38">
        <v>0.23199999999999998</v>
      </c>
      <c r="BL66" s="38">
        <v>0.26</v>
      </c>
      <c r="BM66" s="38">
        <v>0.25900000000000001</v>
      </c>
      <c r="BN66" s="38" t="s">
        <v>38</v>
      </c>
      <c r="BO66" s="40">
        <v>0.246</v>
      </c>
      <c r="BP66" s="38">
        <v>0.23549999999999999</v>
      </c>
      <c r="BQ66" s="38">
        <v>0.16550000000000001</v>
      </c>
      <c r="BR66" s="41">
        <v>0.1855</v>
      </c>
      <c r="BS66" s="41">
        <v>0.16250000000000001</v>
      </c>
      <c r="BT66" s="41">
        <v>0.16250000000000001</v>
      </c>
      <c r="BU66" s="42">
        <v>0.182</v>
      </c>
      <c r="BV66" s="41">
        <v>0.1545</v>
      </c>
      <c r="BW66" s="42" t="s">
        <v>38</v>
      </c>
      <c r="BX66" s="42" t="s">
        <v>38</v>
      </c>
      <c r="BY66" s="85">
        <f>(0.309+0.302)/2</f>
        <v>0.30549999999999999</v>
      </c>
      <c r="BZ66" s="85">
        <f>(0.381+0.387)/2</f>
        <v>0.38400000000000001</v>
      </c>
      <c r="CA66" s="87">
        <v>0.29099999999999998</v>
      </c>
    </row>
    <row r="67" spans="1:79">
      <c r="A67" s="21" t="s">
        <v>18</v>
      </c>
      <c r="B67" s="82">
        <v>254462.48352099999</v>
      </c>
      <c r="C67" s="82">
        <v>4505680.94594</v>
      </c>
      <c r="D67" s="19">
        <v>0.25850000000000001</v>
      </c>
      <c r="E67" s="20">
        <v>0.26550000000000001</v>
      </c>
      <c r="F67" s="20">
        <v>0.26850000000000002</v>
      </c>
      <c r="G67" s="20">
        <v>0.28499999999999998</v>
      </c>
      <c r="H67" s="20">
        <v>0.27649999999999997</v>
      </c>
      <c r="I67" s="20">
        <v>0.215</v>
      </c>
      <c r="J67" s="20">
        <v>0.1885</v>
      </c>
      <c r="K67" s="20">
        <v>0.13900000000000001</v>
      </c>
      <c r="L67" s="20">
        <v>0.18149999999999999</v>
      </c>
      <c r="M67" s="20">
        <v>0.125</v>
      </c>
      <c r="N67" s="16">
        <v>0.1915</v>
      </c>
      <c r="O67" s="16">
        <v>0.13850000000000001</v>
      </c>
      <c r="P67" s="23" t="s">
        <v>38</v>
      </c>
      <c r="Q67" s="16">
        <v>0.24149999999999999</v>
      </c>
      <c r="R67" s="23" t="s">
        <v>38</v>
      </c>
      <c r="S67" s="23" t="s">
        <v>38</v>
      </c>
      <c r="T67" s="24">
        <v>0.25700000000000001</v>
      </c>
      <c r="U67" s="24">
        <v>0.30599999999999999</v>
      </c>
      <c r="V67" s="24">
        <v>0.30599999999999999</v>
      </c>
      <c r="W67" s="24">
        <v>0.33400000000000002</v>
      </c>
      <c r="X67" s="24">
        <v>0.28699999999999998</v>
      </c>
      <c r="Y67" s="24" t="s">
        <v>38</v>
      </c>
      <c r="Z67" s="23">
        <v>0.307</v>
      </c>
      <c r="AA67" s="24">
        <v>0.30599999999999999</v>
      </c>
      <c r="AB67" s="23" t="s">
        <v>38</v>
      </c>
      <c r="AC67" s="24">
        <v>0.28999999999999998</v>
      </c>
      <c r="AD67" s="24">
        <v>0.26800000000000002</v>
      </c>
      <c r="AE67" s="23" t="s">
        <v>38</v>
      </c>
      <c r="AF67" s="24">
        <v>0.192</v>
      </c>
      <c r="AG67" s="24">
        <v>0.17799999999999999</v>
      </c>
      <c r="AH67" s="24">
        <v>0.17</v>
      </c>
      <c r="AI67" s="23" t="s">
        <v>38</v>
      </c>
      <c r="AJ67" s="24" t="s">
        <v>38</v>
      </c>
      <c r="AK67" s="24">
        <v>0.159</v>
      </c>
      <c r="AL67" s="24">
        <v>0.26</v>
      </c>
      <c r="AM67" s="24">
        <v>0.30099999999999999</v>
      </c>
      <c r="AN67" s="40">
        <v>0.23799999999999999</v>
      </c>
      <c r="AO67" s="40" t="s">
        <v>38</v>
      </c>
      <c r="AP67" s="40" t="s">
        <v>38</v>
      </c>
      <c r="AQ67" s="40">
        <v>0.21</v>
      </c>
      <c r="AR67" s="40" t="s">
        <v>38</v>
      </c>
      <c r="AS67" s="40">
        <v>0.193</v>
      </c>
      <c r="AT67" s="40" t="s">
        <v>38</v>
      </c>
      <c r="AU67" s="40">
        <v>0.161</v>
      </c>
      <c r="AV67" s="40" t="s">
        <v>38</v>
      </c>
      <c r="AW67" s="40" t="s">
        <v>38</v>
      </c>
      <c r="AX67" s="40" t="s">
        <v>38</v>
      </c>
      <c r="AY67" s="40">
        <v>0.20200000000000001</v>
      </c>
      <c r="AZ67" s="40">
        <v>0.16</v>
      </c>
      <c r="BA67" s="40">
        <v>0.185</v>
      </c>
      <c r="BB67" s="49">
        <v>0.185</v>
      </c>
      <c r="BC67" s="40">
        <v>0.215</v>
      </c>
      <c r="BD67" s="50">
        <v>0.28100000000000003</v>
      </c>
      <c r="BE67" s="50" t="s">
        <v>38</v>
      </c>
      <c r="BF67" s="50">
        <v>0.20699999999999999</v>
      </c>
      <c r="BG67" s="40">
        <v>0.28200000000000003</v>
      </c>
      <c r="BH67" s="38" t="s">
        <v>38</v>
      </c>
      <c r="BI67" s="38" t="s">
        <v>38</v>
      </c>
      <c r="BJ67" s="38" t="s">
        <v>38</v>
      </c>
      <c r="BK67" s="38">
        <v>0.26550000000000001</v>
      </c>
      <c r="BL67" s="38" t="s">
        <v>38</v>
      </c>
      <c r="BM67" s="38" t="s">
        <v>38</v>
      </c>
      <c r="BN67" s="38" t="s">
        <v>38</v>
      </c>
      <c r="BO67" s="38" t="s">
        <v>38</v>
      </c>
      <c r="BP67" s="38" t="s">
        <v>38</v>
      </c>
      <c r="BQ67" s="38">
        <v>0.18149999999999999</v>
      </c>
      <c r="BR67" s="41">
        <v>0.19800000000000001</v>
      </c>
      <c r="BS67" s="41">
        <v>0.17449999999999999</v>
      </c>
      <c r="BT67" s="41">
        <v>0.17949999999999999</v>
      </c>
      <c r="BU67" s="42">
        <v>0.16650000000000001</v>
      </c>
      <c r="BV67" s="41" t="s">
        <v>38</v>
      </c>
      <c r="BW67" s="42">
        <v>0.2495</v>
      </c>
      <c r="BX67" s="42" t="s">
        <v>38</v>
      </c>
      <c r="BY67" s="85">
        <f>(0.277+0.273)/2</f>
        <v>0.27500000000000002</v>
      </c>
      <c r="BZ67" s="85">
        <f>(0.361+0.383)/2</f>
        <v>0.372</v>
      </c>
      <c r="CA67" s="87">
        <v>0.27900000000000003</v>
      </c>
    </row>
    <row r="68" spans="1:79">
      <c r="A68" s="21" t="s">
        <v>19</v>
      </c>
      <c r="B68" s="82">
        <v>254462.19347299999</v>
      </c>
      <c r="C68" s="82">
        <v>4505679.2486500004</v>
      </c>
      <c r="D68" s="19">
        <v>0.24199999999999999</v>
      </c>
      <c r="E68" s="20">
        <v>0.23050000000000001</v>
      </c>
      <c r="F68" s="20">
        <v>0.23849999999999999</v>
      </c>
      <c r="G68" s="20">
        <v>0.22849999999999998</v>
      </c>
      <c r="H68" s="20" t="s">
        <v>38</v>
      </c>
      <c r="I68" s="20">
        <v>0.14449999999999999</v>
      </c>
      <c r="J68" s="20">
        <v>0.13550000000000001</v>
      </c>
      <c r="K68" s="20">
        <v>0.10100000000000001</v>
      </c>
      <c r="L68" s="20">
        <v>0.157</v>
      </c>
      <c r="M68" s="20">
        <v>8.6499999999999994E-2</v>
      </c>
      <c r="N68" s="16">
        <v>0.14899999999999999</v>
      </c>
      <c r="O68" s="16">
        <v>0.108</v>
      </c>
      <c r="P68" s="23" t="s">
        <v>38</v>
      </c>
      <c r="Q68" s="16">
        <v>0.19</v>
      </c>
      <c r="R68" s="23" t="s">
        <v>38</v>
      </c>
      <c r="S68" s="23" t="s">
        <v>38</v>
      </c>
      <c r="T68" s="24">
        <v>0.23</v>
      </c>
      <c r="U68" s="24">
        <v>0.22800000000000001</v>
      </c>
      <c r="V68" s="24">
        <v>0.246</v>
      </c>
      <c r="W68" s="24">
        <v>0.23</v>
      </c>
      <c r="X68" s="24">
        <v>0.22900000000000001</v>
      </c>
      <c r="Y68" s="24" t="s">
        <v>38</v>
      </c>
      <c r="Z68" s="23">
        <v>0.24399999999999999</v>
      </c>
      <c r="AA68" s="24">
        <v>0.251</v>
      </c>
      <c r="AB68" s="24" t="s">
        <v>38</v>
      </c>
      <c r="AC68" s="24">
        <v>0.23100000000000001</v>
      </c>
      <c r="AD68" s="24">
        <v>0.215</v>
      </c>
      <c r="AE68" s="23" t="s">
        <v>38</v>
      </c>
      <c r="AF68" s="24">
        <v>0.156</v>
      </c>
      <c r="AG68" s="24">
        <v>0.13900000000000001</v>
      </c>
      <c r="AH68" s="24">
        <v>0.12</v>
      </c>
      <c r="AI68" s="23" t="s">
        <v>38</v>
      </c>
      <c r="AJ68" s="24" t="s">
        <v>38</v>
      </c>
      <c r="AK68" s="24">
        <v>0.10100000000000001</v>
      </c>
      <c r="AL68" s="24">
        <v>0.219</v>
      </c>
      <c r="AM68" s="24">
        <v>0.23799999999999999</v>
      </c>
      <c r="AN68" s="40">
        <v>0.2</v>
      </c>
      <c r="AO68" s="40" t="s">
        <v>38</v>
      </c>
      <c r="AP68" s="40" t="s">
        <v>38</v>
      </c>
      <c r="AQ68" s="40">
        <v>0.17849999999999999</v>
      </c>
      <c r="AR68" s="40" t="s">
        <v>38</v>
      </c>
      <c r="AS68" s="40">
        <v>0.14199999999999999</v>
      </c>
      <c r="AT68" s="40" t="s">
        <v>38</v>
      </c>
      <c r="AU68" s="40">
        <v>0.121</v>
      </c>
      <c r="AV68" s="40" t="s">
        <v>38</v>
      </c>
      <c r="AW68" s="40" t="s">
        <v>38</v>
      </c>
      <c r="AX68" s="40" t="s">
        <v>38</v>
      </c>
      <c r="AY68" s="40">
        <v>0.189</v>
      </c>
      <c r="AZ68" s="40">
        <v>0.185</v>
      </c>
      <c r="BA68" s="40">
        <v>0.16700000000000001</v>
      </c>
      <c r="BB68" s="49">
        <v>0.1215</v>
      </c>
      <c r="BC68" s="40">
        <v>0.1515</v>
      </c>
      <c r="BD68" s="50">
        <v>0.20100000000000001</v>
      </c>
      <c r="BE68" s="50" t="s">
        <v>38</v>
      </c>
      <c r="BF68" s="50">
        <v>0.14349999999999999</v>
      </c>
      <c r="BG68" s="40">
        <v>0.215</v>
      </c>
      <c r="BH68" s="38" t="s">
        <v>38</v>
      </c>
      <c r="BI68" s="38" t="s">
        <v>38</v>
      </c>
      <c r="BJ68" s="38" t="s">
        <v>38</v>
      </c>
      <c r="BK68" s="38">
        <v>0.1885</v>
      </c>
      <c r="BL68" s="38" t="s">
        <v>38</v>
      </c>
      <c r="BM68" s="38" t="s">
        <v>38</v>
      </c>
      <c r="BN68" s="38" t="s">
        <v>38</v>
      </c>
      <c r="BO68" s="38" t="s">
        <v>38</v>
      </c>
      <c r="BP68" s="38" t="s">
        <v>38</v>
      </c>
      <c r="BQ68" s="38">
        <v>0.14000000000000001</v>
      </c>
      <c r="BR68" s="41">
        <v>0.14350000000000002</v>
      </c>
      <c r="BS68" s="41">
        <v>0.13150000000000001</v>
      </c>
      <c r="BT68" s="41">
        <v>0.1285</v>
      </c>
      <c r="BU68" s="42">
        <v>0.13650000000000001</v>
      </c>
      <c r="BV68" s="41" t="s">
        <v>38</v>
      </c>
      <c r="BW68" s="41" t="s">
        <v>38</v>
      </c>
      <c r="BX68" s="41" t="s">
        <v>38</v>
      </c>
      <c r="BY68" s="85">
        <f>(0.267+0.252)/2</f>
        <v>0.25950000000000001</v>
      </c>
      <c r="BZ68" s="85" t="s">
        <v>38</v>
      </c>
      <c r="CA68" s="85" t="s">
        <v>38</v>
      </c>
    </row>
    <row r="69" spans="1:79">
      <c r="A69" s="21" t="s">
        <v>20</v>
      </c>
      <c r="B69" s="82">
        <v>254460.18427299999</v>
      </c>
      <c r="C69" s="82">
        <v>4505679.29464</v>
      </c>
      <c r="D69" s="19">
        <v>0.1875</v>
      </c>
      <c r="E69" s="20">
        <v>0.24199999999999999</v>
      </c>
      <c r="F69" s="20">
        <v>0.251</v>
      </c>
      <c r="G69" s="20">
        <v>0.24199999999999999</v>
      </c>
      <c r="H69" s="20">
        <v>0.251</v>
      </c>
      <c r="I69" s="20">
        <v>0.183</v>
      </c>
      <c r="J69" s="20">
        <v>0.14799999999999999</v>
      </c>
      <c r="K69" s="20">
        <v>0.1125</v>
      </c>
      <c r="L69" s="20">
        <v>0.21200000000000002</v>
      </c>
      <c r="M69" s="20">
        <v>0.10249999999999999</v>
      </c>
      <c r="N69" s="16">
        <v>0.15049999999999999</v>
      </c>
      <c r="O69" s="16">
        <v>0.1105</v>
      </c>
      <c r="P69" s="16">
        <v>0.11699999999999999</v>
      </c>
      <c r="Q69" s="16">
        <v>0.20100000000000001</v>
      </c>
      <c r="R69" s="16">
        <v>0.22750000000000001</v>
      </c>
      <c r="S69" s="16">
        <v>0.2165</v>
      </c>
      <c r="T69" s="24">
        <v>0.217</v>
      </c>
      <c r="U69" s="24">
        <v>0.24299999999999999</v>
      </c>
      <c r="V69" s="24">
        <v>0.26700000000000002</v>
      </c>
      <c r="W69" s="24">
        <v>0.23</v>
      </c>
      <c r="X69" s="24">
        <v>0.25700000000000001</v>
      </c>
      <c r="Y69" s="24" t="s">
        <v>38</v>
      </c>
      <c r="Z69" s="23">
        <v>0.26900000000000002</v>
      </c>
      <c r="AA69" s="24">
        <v>0.26500000000000001</v>
      </c>
      <c r="AB69" s="24" t="s">
        <v>38</v>
      </c>
      <c r="AC69" s="24">
        <v>0.24099999999999999</v>
      </c>
      <c r="AD69" s="24">
        <v>0.252</v>
      </c>
      <c r="AE69" s="23" t="s">
        <v>38</v>
      </c>
      <c r="AF69" s="24">
        <v>0.17</v>
      </c>
      <c r="AG69" s="24">
        <v>0.151</v>
      </c>
      <c r="AH69" s="24">
        <v>0.161</v>
      </c>
      <c r="AI69" s="23" t="s">
        <v>38</v>
      </c>
      <c r="AJ69" s="24" t="s">
        <v>38</v>
      </c>
      <c r="AK69" s="24">
        <v>0.12</v>
      </c>
      <c r="AL69" s="24">
        <v>0.25900000000000001</v>
      </c>
      <c r="AM69" s="24">
        <v>0.26100000000000001</v>
      </c>
      <c r="AN69" s="40">
        <v>0.19700000000000001</v>
      </c>
      <c r="AO69" s="40" t="s">
        <v>38</v>
      </c>
      <c r="AP69" s="40" t="s">
        <v>38</v>
      </c>
      <c r="AQ69" s="40">
        <v>0.2155</v>
      </c>
      <c r="AR69" s="40" t="s">
        <v>38</v>
      </c>
      <c r="AS69" s="40">
        <v>0.16200000000000001</v>
      </c>
      <c r="AT69" s="40" t="s">
        <v>38</v>
      </c>
      <c r="AU69" s="40">
        <v>0.13600000000000001</v>
      </c>
      <c r="AV69" s="40" t="s">
        <v>38</v>
      </c>
      <c r="AW69" s="40" t="s">
        <v>38</v>
      </c>
      <c r="AX69" s="40" t="s">
        <v>38</v>
      </c>
      <c r="AY69" s="40">
        <v>0.11899999999999999</v>
      </c>
      <c r="AZ69" s="40">
        <v>0.126</v>
      </c>
      <c r="BA69" s="40">
        <v>0.13500000000000001</v>
      </c>
      <c r="BB69" s="49">
        <v>0.14400000000000002</v>
      </c>
      <c r="BC69" s="40">
        <v>0.188</v>
      </c>
      <c r="BD69" s="50">
        <v>0.23299999999999998</v>
      </c>
      <c r="BE69" s="50" t="s">
        <v>38</v>
      </c>
      <c r="BF69" s="50">
        <v>0.17449999999999999</v>
      </c>
      <c r="BG69" s="40">
        <v>0.23</v>
      </c>
      <c r="BH69" s="38" t="s">
        <v>38</v>
      </c>
      <c r="BI69" s="38" t="s">
        <v>38</v>
      </c>
      <c r="BJ69" s="38" t="s">
        <v>38</v>
      </c>
      <c r="BK69" s="38">
        <v>0.2195</v>
      </c>
      <c r="BL69" s="38" t="s">
        <v>38</v>
      </c>
      <c r="BM69" s="38" t="s">
        <v>38</v>
      </c>
      <c r="BN69" s="38" t="s">
        <v>38</v>
      </c>
      <c r="BO69" s="38" t="s">
        <v>38</v>
      </c>
      <c r="BP69" s="38" t="s">
        <v>38</v>
      </c>
      <c r="BQ69" s="38">
        <v>0.15</v>
      </c>
      <c r="BR69" s="41">
        <v>0.1565</v>
      </c>
      <c r="BS69" s="41">
        <v>0.15</v>
      </c>
      <c r="BT69" s="41">
        <v>0.154</v>
      </c>
      <c r="BU69" s="42">
        <v>0.13500000000000001</v>
      </c>
      <c r="BV69" s="41" t="s">
        <v>38</v>
      </c>
      <c r="BW69" s="41" t="s">
        <v>38</v>
      </c>
      <c r="BX69" s="41" t="s">
        <v>38</v>
      </c>
      <c r="BY69" s="85">
        <f>(0.276+0.295)/2</f>
        <v>0.28549999999999998</v>
      </c>
      <c r="BZ69" s="85">
        <f>(0.37+0.341)/2</f>
        <v>0.35550000000000004</v>
      </c>
      <c r="CA69" s="87">
        <v>0.27300000000000002</v>
      </c>
    </row>
    <row r="70" spans="1:79">
      <c r="A70" s="21" t="s">
        <v>21</v>
      </c>
      <c r="B70" s="82">
        <v>254460.43630199999</v>
      </c>
      <c r="C70" s="82">
        <v>4505681.1553699998</v>
      </c>
      <c r="D70" s="19">
        <v>0.121</v>
      </c>
      <c r="E70" s="20">
        <v>0.189</v>
      </c>
      <c r="F70" s="20">
        <v>0.1865</v>
      </c>
      <c r="G70" s="20">
        <v>0.22450000000000001</v>
      </c>
      <c r="H70" s="20">
        <v>0.20450000000000002</v>
      </c>
      <c r="I70" s="20">
        <v>0.13700000000000001</v>
      </c>
      <c r="J70" s="20">
        <v>0.106</v>
      </c>
      <c r="K70" s="20">
        <v>9.35E-2</v>
      </c>
      <c r="L70" s="20">
        <v>0.21049999999999999</v>
      </c>
      <c r="M70" s="20">
        <v>7.3499999999999996E-2</v>
      </c>
      <c r="N70" s="16">
        <v>0.11649999999999999</v>
      </c>
      <c r="O70" s="16">
        <v>9.2499999999999999E-2</v>
      </c>
      <c r="P70" s="23" t="s">
        <v>38</v>
      </c>
      <c r="Q70" s="16">
        <v>0.16049999999999998</v>
      </c>
      <c r="R70" s="23" t="s">
        <v>38</v>
      </c>
      <c r="S70" s="23" t="s">
        <v>38</v>
      </c>
      <c r="T70" s="24">
        <v>0.19400000000000001</v>
      </c>
      <c r="U70" s="24">
        <v>0.192</v>
      </c>
      <c r="V70" s="24">
        <v>0.26</v>
      </c>
      <c r="W70" s="24">
        <v>0.16700000000000001</v>
      </c>
      <c r="X70" s="24">
        <v>0.23200000000000001</v>
      </c>
      <c r="Y70" s="24" t="s">
        <v>38</v>
      </c>
      <c r="Z70" s="23">
        <v>0.25600000000000001</v>
      </c>
      <c r="AA70" s="24">
        <v>0.24399999999999999</v>
      </c>
      <c r="AB70" s="24" t="s">
        <v>38</v>
      </c>
      <c r="AC70" s="24">
        <v>0.23300000000000001</v>
      </c>
      <c r="AD70" s="24">
        <v>0.24199999999999999</v>
      </c>
      <c r="AE70" s="23" t="s">
        <v>38</v>
      </c>
      <c r="AF70" s="24">
        <v>0.14899999999999999</v>
      </c>
      <c r="AG70" s="24">
        <v>0.13700000000000001</v>
      </c>
      <c r="AH70" s="24">
        <v>0.109</v>
      </c>
      <c r="AI70" s="23" t="s">
        <v>38</v>
      </c>
      <c r="AJ70" s="24" t="s">
        <v>38</v>
      </c>
      <c r="AK70" s="24">
        <v>0.105</v>
      </c>
      <c r="AL70" s="24">
        <v>0.23300000000000001</v>
      </c>
      <c r="AM70" s="24">
        <v>0.19600000000000001</v>
      </c>
      <c r="AN70" s="40">
        <v>0.16600000000000001</v>
      </c>
      <c r="AO70" s="40" t="s">
        <v>38</v>
      </c>
      <c r="AP70" s="40" t="s">
        <v>38</v>
      </c>
      <c r="AQ70" s="40">
        <v>0.14949999999999999</v>
      </c>
      <c r="AR70" s="40" t="s">
        <v>38</v>
      </c>
      <c r="AS70" s="40">
        <v>0.12</v>
      </c>
      <c r="AT70" s="40" t="s">
        <v>38</v>
      </c>
      <c r="AU70" s="40">
        <v>0.125</v>
      </c>
      <c r="AV70" s="40" t="s">
        <v>38</v>
      </c>
      <c r="AW70" s="40" t="s">
        <v>38</v>
      </c>
      <c r="AX70" s="40" t="s">
        <v>38</v>
      </c>
      <c r="AY70" s="40">
        <v>0.13900000000000001</v>
      </c>
      <c r="AZ70" s="40">
        <v>0.13900000000000001</v>
      </c>
      <c r="BA70" s="40" t="s">
        <v>38</v>
      </c>
      <c r="BB70" s="49">
        <v>8.4499999999999992E-2</v>
      </c>
      <c r="BC70" s="40">
        <v>0.15049999999999999</v>
      </c>
      <c r="BD70" s="50">
        <v>0.18149999999999999</v>
      </c>
      <c r="BE70" s="50" t="s">
        <v>38</v>
      </c>
      <c r="BF70" s="50">
        <v>0.14349999999999999</v>
      </c>
      <c r="BG70" s="40">
        <v>0.20949999999999999</v>
      </c>
      <c r="BH70" s="38" t="s">
        <v>38</v>
      </c>
      <c r="BI70" s="38" t="s">
        <v>38</v>
      </c>
      <c r="BJ70" s="38" t="s">
        <v>38</v>
      </c>
      <c r="BK70" s="38">
        <v>0.27300000000000002</v>
      </c>
      <c r="BL70" s="38" t="s">
        <v>38</v>
      </c>
      <c r="BM70" s="38" t="s">
        <v>38</v>
      </c>
      <c r="BN70" s="38" t="s">
        <v>38</v>
      </c>
      <c r="BO70" s="38" t="s">
        <v>38</v>
      </c>
      <c r="BP70" s="38" t="s">
        <v>38</v>
      </c>
      <c r="BQ70" s="38">
        <v>0.13750000000000001</v>
      </c>
      <c r="BR70" s="41">
        <v>0.15</v>
      </c>
      <c r="BS70" s="41">
        <v>0.1225</v>
      </c>
      <c r="BT70" s="41">
        <v>0.11449999999999999</v>
      </c>
      <c r="BU70" s="42">
        <v>0.1235</v>
      </c>
      <c r="BV70" s="41" t="s">
        <v>38</v>
      </c>
      <c r="BW70" s="41" t="s">
        <v>38</v>
      </c>
      <c r="BX70" s="41" t="s">
        <v>38</v>
      </c>
      <c r="BY70" s="85">
        <f>(0.273+0.268)/2</f>
        <v>0.27050000000000002</v>
      </c>
      <c r="BZ70" s="85">
        <f>(0.316+0.341)/2</f>
        <v>0.32850000000000001</v>
      </c>
      <c r="CA70" s="87">
        <v>0.2545</v>
      </c>
    </row>
    <row r="71" spans="1:79">
      <c r="A71" s="21">
        <v>54</v>
      </c>
      <c r="B71" s="82">
        <v>254459.10776799999</v>
      </c>
      <c r="C71" s="82">
        <v>4505704.5320499996</v>
      </c>
      <c r="D71" s="19" t="s">
        <v>38</v>
      </c>
      <c r="E71" s="19" t="s">
        <v>38</v>
      </c>
      <c r="F71" s="19" t="s">
        <v>38</v>
      </c>
      <c r="G71" s="19" t="s">
        <v>38</v>
      </c>
      <c r="H71" s="19" t="s">
        <v>38</v>
      </c>
      <c r="I71" s="19" t="s">
        <v>38</v>
      </c>
      <c r="J71" s="19" t="s">
        <v>38</v>
      </c>
      <c r="K71" s="19" t="s">
        <v>38</v>
      </c>
      <c r="L71" s="19" t="s">
        <v>38</v>
      </c>
      <c r="M71" s="19" t="s">
        <v>38</v>
      </c>
      <c r="N71" s="23" t="s">
        <v>38</v>
      </c>
      <c r="O71" s="23" t="s">
        <v>38</v>
      </c>
      <c r="P71" s="23" t="s">
        <v>38</v>
      </c>
      <c r="Q71" s="23" t="s">
        <v>38</v>
      </c>
      <c r="R71" s="23" t="s">
        <v>38</v>
      </c>
      <c r="S71" s="23" t="s">
        <v>38</v>
      </c>
      <c r="T71" s="23" t="s">
        <v>38</v>
      </c>
      <c r="U71" s="23" t="s">
        <v>38</v>
      </c>
      <c r="V71" s="23" t="s">
        <v>38</v>
      </c>
      <c r="W71" s="23" t="s">
        <v>38</v>
      </c>
      <c r="X71" s="23" t="s">
        <v>38</v>
      </c>
      <c r="Y71" s="23" t="s">
        <v>38</v>
      </c>
      <c r="Z71" s="23" t="s">
        <v>38</v>
      </c>
      <c r="AA71" s="23" t="s">
        <v>38</v>
      </c>
      <c r="AB71" s="23" t="s">
        <v>38</v>
      </c>
      <c r="AC71" s="23" t="s">
        <v>38</v>
      </c>
      <c r="AD71" s="23" t="s">
        <v>38</v>
      </c>
      <c r="AE71" s="23" t="s">
        <v>38</v>
      </c>
      <c r="AF71" s="23" t="s">
        <v>38</v>
      </c>
      <c r="AG71" s="23" t="s">
        <v>38</v>
      </c>
      <c r="AH71" s="23" t="s">
        <v>38</v>
      </c>
      <c r="AI71" s="23" t="s">
        <v>38</v>
      </c>
      <c r="AJ71" s="23" t="s">
        <v>38</v>
      </c>
      <c r="AK71" s="23" t="s">
        <v>38</v>
      </c>
      <c r="AL71" s="23" t="s">
        <v>38</v>
      </c>
      <c r="AM71" s="23" t="s">
        <v>38</v>
      </c>
      <c r="AN71" s="23" t="s">
        <v>38</v>
      </c>
      <c r="AO71" s="23" t="s">
        <v>38</v>
      </c>
      <c r="AP71" s="23" t="s">
        <v>38</v>
      </c>
      <c r="AQ71" s="23" t="s">
        <v>38</v>
      </c>
      <c r="AR71" s="23" t="s">
        <v>38</v>
      </c>
      <c r="AS71" s="23" t="s">
        <v>38</v>
      </c>
      <c r="AT71" s="23" t="s">
        <v>38</v>
      </c>
      <c r="AU71" s="23" t="s">
        <v>38</v>
      </c>
      <c r="AV71" s="23" t="s">
        <v>38</v>
      </c>
      <c r="AW71" s="23" t="s">
        <v>38</v>
      </c>
      <c r="AX71" s="23" t="s">
        <v>38</v>
      </c>
      <c r="AY71" s="40">
        <v>0.25</v>
      </c>
      <c r="AZ71" s="40">
        <v>0.19700000000000001</v>
      </c>
      <c r="BA71" s="40">
        <v>0.14199999999999999</v>
      </c>
      <c r="BB71" s="59" t="s">
        <v>38</v>
      </c>
      <c r="BC71" s="59" t="s">
        <v>38</v>
      </c>
      <c r="BD71" s="59" t="s">
        <v>38</v>
      </c>
      <c r="BE71" s="59" t="s">
        <v>38</v>
      </c>
      <c r="BF71" s="59" t="s">
        <v>38</v>
      </c>
      <c r="BG71" s="40">
        <v>0.317</v>
      </c>
      <c r="BH71" s="38" t="s">
        <v>38</v>
      </c>
      <c r="BI71" s="38" t="s">
        <v>38</v>
      </c>
      <c r="BJ71" s="38" t="s">
        <v>38</v>
      </c>
      <c r="BK71" s="38" t="s">
        <v>38</v>
      </c>
      <c r="BL71" s="38" t="s">
        <v>38</v>
      </c>
      <c r="BM71" s="38" t="s">
        <v>38</v>
      </c>
      <c r="BN71" s="38" t="s">
        <v>38</v>
      </c>
      <c r="BO71" s="38" t="s">
        <v>38</v>
      </c>
      <c r="BP71" s="38" t="s">
        <v>38</v>
      </c>
      <c r="BQ71" s="38" t="s">
        <v>38</v>
      </c>
      <c r="BR71" s="38" t="s">
        <v>38</v>
      </c>
      <c r="BS71" s="38" t="s">
        <v>38</v>
      </c>
      <c r="BT71" s="38" t="s">
        <v>38</v>
      </c>
      <c r="BU71" s="38" t="s">
        <v>38</v>
      </c>
      <c r="BV71" s="41" t="s">
        <v>38</v>
      </c>
      <c r="BW71" s="41" t="s">
        <v>38</v>
      </c>
      <c r="BX71" s="41" t="s">
        <v>38</v>
      </c>
      <c r="BY71" s="69" t="s">
        <v>38</v>
      </c>
      <c r="BZ71" s="69" t="s">
        <v>38</v>
      </c>
      <c r="CA71" s="86" t="s">
        <v>38</v>
      </c>
    </row>
    <row r="72" spans="1:79">
      <c r="A72" s="21">
        <v>55</v>
      </c>
      <c r="B72" s="82">
        <v>254464.43786400001</v>
      </c>
      <c r="C72" s="82">
        <v>4505623.9690100001</v>
      </c>
      <c r="D72" s="19">
        <v>0.18099999999999999</v>
      </c>
      <c r="E72" s="20">
        <v>0.1895</v>
      </c>
      <c r="F72" s="20">
        <v>0.2</v>
      </c>
      <c r="G72" s="20">
        <v>0.19900000000000001</v>
      </c>
      <c r="H72" s="20">
        <v>0.17299999999999999</v>
      </c>
      <c r="I72" s="20">
        <v>0.14799999999999999</v>
      </c>
      <c r="J72" s="20">
        <v>0.14749999999999999</v>
      </c>
      <c r="K72" s="20">
        <v>9.5000000000000001E-2</v>
      </c>
      <c r="L72" s="20" t="s">
        <v>38</v>
      </c>
      <c r="M72" s="20" t="s">
        <v>38</v>
      </c>
      <c r="N72" s="23" t="s">
        <v>38</v>
      </c>
      <c r="O72" s="23" t="s">
        <v>38</v>
      </c>
      <c r="P72" s="23" t="s">
        <v>38</v>
      </c>
      <c r="Q72" s="23" t="s">
        <v>38</v>
      </c>
      <c r="R72" s="23" t="s">
        <v>38</v>
      </c>
      <c r="S72" s="23" t="s">
        <v>38</v>
      </c>
      <c r="T72" s="23">
        <v>0.222</v>
      </c>
      <c r="U72" s="23">
        <v>0.185</v>
      </c>
      <c r="V72" s="23" t="s">
        <v>38</v>
      </c>
      <c r="W72" s="23">
        <v>0.191</v>
      </c>
      <c r="X72" s="23">
        <v>0.188</v>
      </c>
      <c r="Y72" s="23">
        <v>0.17399999999999999</v>
      </c>
      <c r="Z72" s="23">
        <v>0.193</v>
      </c>
      <c r="AA72" s="23">
        <v>0.20599999999999999</v>
      </c>
      <c r="AB72" s="23">
        <v>0.23200000000000001</v>
      </c>
      <c r="AC72" s="24">
        <v>0.20399999999999999</v>
      </c>
      <c r="AD72" s="24">
        <v>0.20499999999999999</v>
      </c>
      <c r="AE72" s="24">
        <v>0.188</v>
      </c>
      <c r="AF72" s="24">
        <v>0.14899999999999999</v>
      </c>
      <c r="AG72" s="24">
        <v>0.122</v>
      </c>
      <c r="AH72" s="24">
        <v>0.125</v>
      </c>
      <c r="AI72" s="24">
        <v>0.12</v>
      </c>
      <c r="AJ72" s="24">
        <v>0.121</v>
      </c>
      <c r="AK72" s="24">
        <v>0.13400000000000001</v>
      </c>
      <c r="AL72" s="24">
        <v>0.192</v>
      </c>
      <c r="AM72" s="24">
        <v>0.20499999999999999</v>
      </c>
      <c r="AN72" s="40">
        <v>0.184</v>
      </c>
      <c r="AO72" s="40">
        <v>0.13500000000000001</v>
      </c>
      <c r="AP72" s="40">
        <v>0.26600000000000001</v>
      </c>
      <c r="AQ72" s="40">
        <v>0.1605</v>
      </c>
      <c r="AR72" s="40">
        <v>0.14499999999999999</v>
      </c>
      <c r="AS72" s="40">
        <v>0.14199999999999999</v>
      </c>
      <c r="AT72" s="40">
        <v>0.14399999999999999</v>
      </c>
      <c r="AU72" s="40">
        <v>0.14599999999999999</v>
      </c>
      <c r="AV72" s="40">
        <v>0.13300000000000001</v>
      </c>
      <c r="AW72" s="40">
        <v>0.11</v>
      </c>
      <c r="AX72" s="40">
        <v>0.11700000000000001</v>
      </c>
      <c r="AY72" s="40">
        <v>0.16400000000000001</v>
      </c>
      <c r="AZ72" s="40">
        <v>0.16200000000000001</v>
      </c>
      <c r="BA72" s="40">
        <v>0.23100000000000001</v>
      </c>
      <c r="BB72" s="49">
        <v>0.10200000000000001</v>
      </c>
      <c r="BC72" s="40">
        <v>0.1075</v>
      </c>
      <c r="BD72" s="50">
        <v>0.17149999999999999</v>
      </c>
      <c r="BE72" s="50">
        <v>0.1605</v>
      </c>
      <c r="BF72" s="50">
        <v>0.1205</v>
      </c>
      <c r="BG72" s="40">
        <v>0.17599999999999999</v>
      </c>
      <c r="BH72" s="38">
        <v>0.16549999999999998</v>
      </c>
      <c r="BI72" s="38">
        <v>0.17249999999999999</v>
      </c>
      <c r="BJ72" s="38">
        <v>0.18099999999999999</v>
      </c>
      <c r="BK72" s="38">
        <v>0.1515</v>
      </c>
      <c r="BL72" s="38">
        <v>0.16700000000000001</v>
      </c>
      <c r="BM72" s="38">
        <v>0.188</v>
      </c>
      <c r="BN72" s="39" t="s">
        <v>38</v>
      </c>
      <c r="BO72" s="40">
        <v>0.191</v>
      </c>
      <c r="BP72" s="38">
        <v>0.17449999999999999</v>
      </c>
      <c r="BQ72" s="38">
        <v>0.1285</v>
      </c>
      <c r="BR72" s="41">
        <v>0.15049999999999999</v>
      </c>
      <c r="BS72" s="41">
        <v>0.13</v>
      </c>
      <c r="BT72" s="41">
        <v>0.11749999999999999</v>
      </c>
      <c r="BU72" s="42">
        <v>0.124</v>
      </c>
      <c r="BV72" s="41">
        <v>0.1545</v>
      </c>
      <c r="BW72" s="41" t="s">
        <v>38</v>
      </c>
      <c r="BX72" s="41" t="s">
        <v>38</v>
      </c>
      <c r="BY72" s="85">
        <f>(0.246+0.235)/2</f>
        <v>0.24049999999999999</v>
      </c>
      <c r="BZ72" s="85">
        <f>(0.31+0.293)/2</f>
        <v>0.30149999999999999</v>
      </c>
      <c r="CA72" s="87">
        <v>0.23599999999999999</v>
      </c>
    </row>
    <row r="73" spans="1:79">
      <c r="A73" s="21" t="s">
        <v>22</v>
      </c>
      <c r="B73" s="82">
        <v>254465.50736700001</v>
      </c>
      <c r="C73" s="82">
        <v>4505625.0454799999</v>
      </c>
      <c r="D73" s="19">
        <v>0.2445</v>
      </c>
      <c r="E73" s="20">
        <v>0.2525</v>
      </c>
      <c r="F73" s="20">
        <v>0.27100000000000002</v>
      </c>
      <c r="G73" s="20">
        <v>0.27400000000000002</v>
      </c>
      <c r="H73" s="20">
        <v>0.254</v>
      </c>
      <c r="I73" s="20">
        <v>0.19500000000000001</v>
      </c>
      <c r="J73" s="20">
        <v>0.161</v>
      </c>
      <c r="K73" s="20">
        <v>0.11649999999999999</v>
      </c>
      <c r="L73" s="20">
        <v>0.16300000000000001</v>
      </c>
      <c r="M73" s="20">
        <v>0.1045</v>
      </c>
      <c r="N73" s="16">
        <v>0.152</v>
      </c>
      <c r="O73" s="16">
        <v>0.1045</v>
      </c>
      <c r="P73" s="16">
        <v>0.11649999999999999</v>
      </c>
      <c r="Q73" s="16">
        <v>0.188</v>
      </c>
      <c r="R73" s="16">
        <v>0.19350000000000001</v>
      </c>
      <c r="S73" s="23" t="s">
        <v>38</v>
      </c>
      <c r="T73" s="24">
        <v>0.26800000000000002</v>
      </c>
      <c r="U73" s="24">
        <v>0.26600000000000001</v>
      </c>
      <c r="V73" s="23" t="s">
        <v>38</v>
      </c>
      <c r="W73" s="24">
        <v>0.28399999999999997</v>
      </c>
      <c r="X73" s="24">
        <v>0.248</v>
      </c>
      <c r="Y73" s="24" t="s">
        <v>38</v>
      </c>
      <c r="Z73" s="23">
        <v>0.252</v>
      </c>
      <c r="AA73" s="24">
        <v>0.254</v>
      </c>
      <c r="AB73" s="24" t="s">
        <v>38</v>
      </c>
      <c r="AC73" s="24">
        <v>0.27100000000000002</v>
      </c>
      <c r="AD73" s="24">
        <v>0.25</v>
      </c>
      <c r="AE73" s="23" t="s">
        <v>38</v>
      </c>
      <c r="AF73" s="24">
        <v>0.185</v>
      </c>
      <c r="AG73" s="24">
        <v>0.19</v>
      </c>
      <c r="AH73" s="24">
        <v>0.14799999999999999</v>
      </c>
      <c r="AI73" s="23" t="s">
        <v>38</v>
      </c>
      <c r="AJ73" s="24" t="s">
        <v>38</v>
      </c>
      <c r="AK73" s="24">
        <v>0.14799999999999999</v>
      </c>
      <c r="AL73" s="24">
        <v>0.27100000000000002</v>
      </c>
      <c r="AM73" s="24">
        <v>0.30299999999999999</v>
      </c>
      <c r="AN73" s="40">
        <v>0.22800000000000001</v>
      </c>
      <c r="AO73" s="40" t="s">
        <v>38</v>
      </c>
      <c r="AP73" s="40" t="s">
        <v>38</v>
      </c>
      <c r="AQ73" s="40">
        <v>0.19750000000000001</v>
      </c>
      <c r="AR73" s="40" t="s">
        <v>38</v>
      </c>
      <c r="AS73" s="40">
        <v>0.17699999999999999</v>
      </c>
      <c r="AT73" s="40" t="s">
        <v>38</v>
      </c>
      <c r="AU73" s="40">
        <v>0.16300000000000001</v>
      </c>
      <c r="AV73" s="40" t="s">
        <v>38</v>
      </c>
      <c r="AW73" s="40" t="s">
        <v>38</v>
      </c>
      <c r="AX73" s="40" t="s">
        <v>38</v>
      </c>
      <c r="AY73" s="40">
        <v>0.186</v>
      </c>
      <c r="AZ73" s="40">
        <v>0.17699999999999999</v>
      </c>
      <c r="BA73" s="40">
        <v>0.16500000000000001</v>
      </c>
      <c r="BB73" s="49">
        <v>0.158</v>
      </c>
      <c r="BC73" s="40">
        <v>0.19550000000000001</v>
      </c>
      <c r="BD73" s="50">
        <v>0.218</v>
      </c>
      <c r="BE73" s="50">
        <v>0.2495</v>
      </c>
      <c r="BF73" s="58">
        <v>0.14899999999999999</v>
      </c>
      <c r="BG73" s="40">
        <v>0.25650000000000001</v>
      </c>
      <c r="BH73" s="38" t="s">
        <v>38</v>
      </c>
      <c r="BI73" s="38" t="s">
        <v>38</v>
      </c>
      <c r="BJ73" s="38" t="s">
        <v>38</v>
      </c>
      <c r="BK73" s="38">
        <v>0.23050000000000001</v>
      </c>
      <c r="BL73" s="38" t="s">
        <v>38</v>
      </c>
      <c r="BM73" s="38" t="s">
        <v>38</v>
      </c>
      <c r="BN73" s="39" t="s">
        <v>38</v>
      </c>
      <c r="BO73" s="40" t="s">
        <v>38</v>
      </c>
      <c r="BP73" s="38" t="s">
        <v>38</v>
      </c>
      <c r="BQ73" s="38">
        <v>0.16400000000000001</v>
      </c>
      <c r="BR73" s="41">
        <v>0.1905</v>
      </c>
      <c r="BS73" s="41">
        <v>0.17049999999999998</v>
      </c>
      <c r="BT73" s="41">
        <v>0.1525</v>
      </c>
      <c r="BU73" s="42">
        <v>0.17149999999999999</v>
      </c>
      <c r="BV73" s="41" t="s">
        <v>38</v>
      </c>
      <c r="BW73" s="42">
        <v>0.223</v>
      </c>
      <c r="BX73" s="42" t="s">
        <v>38</v>
      </c>
      <c r="BY73" s="85">
        <f>(0.268+0.271)/2</f>
        <v>0.26950000000000002</v>
      </c>
      <c r="BZ73" s="85">
        <f>(0.333+0.336)/2</f>
        <v>0.33450000000000002</v>
      </c>
      <c r="CA73" s="87">
        <v>0.27950000000000003</v>
      </c>
    </row>
    <row r="74" spans="1:79">
      <c r="A74" s="21" t="s">
        <v>23</v>
      </c>
      <c r="B74" s="82">
        <v>254465.36725000001</v>
      </c>
      <c r="C74" s="82">
        <v>4505622.9550599996</v>
      </c>
      <c r="D74" s="19">
        <v>0.26950000000000002</v>
      </c>
      <c r="E74" s="20">
        <v>0.29099999999999998</v>
      </c>
      <c r="F74" s="20">
        <v>0.28849999999999998</v>
      </c>
      <c r="G74" s="20">
        <v>0.30149999999999999</v>
      </c>
      <c r="H74" s="20">
        <v>0.28349999999999997</v>
      </c>
      <c r="I74" s="20">
        <v>0.2165</v>
      </c>
      <c r="J74" s="20">
        <v>0.16500000000000001</v>
      </c>
      <c r="K74" s="20">
        <v>0.1255</v>
      </c>
      <c r="L74" s="20">
        <v>0.14949999999999999</v>
      </c>
      <c r="M74" s="20">
        <v>0.11599999999999999</v>
      </c>
      <c r="N74" s="16">
        <v>0.154</v>
      </c>
      <c r="O74" s="16">
        <v>0.127</v>
      </c>
      <c r="P74" s="23" t="s">
        <v>38</v>
      </c>
      <c r="Q74" s="16">
        <v>0.1585</v>
      </c>
      <c r="R74" s="23" t="s">
        <v>38</v>
      </c>
      <c r="S74" s="16">
        <v>0.20650000000000002</v>
      </c>
      <c r="T74" s="24">
        <v>0.30499999999999999</v>
      </c>
      <c r="U74" s="24">
        <v>0.29499999999999998</v>
      </c>
      <c r="V74" s="23" t="s">
        <v>38</v>
      </c>
      <c r="W74" s="24">
        <v>0.30299999999999999</v>
      </c>
      <c r="X74" s="24">
        <v>0.30499999999999999</v>
      </c>
      <c r="Y74" s="24" t="s">
        <v>38</v>
      </c>
      <c r="Z74" s="23">
        <v>0.33800000000000002</v>
      </c>
      <c r="AA74" s="24">
        <v>0.33</v>
      </c>
      <c r="AB74" s="24" t="s">
        <v>38</v>
      </c>
      <c r="AC74" s="24">
        <v>0.317</v>
      </c>
      <c r="AD74" s="24">
        <v>0.307</v>
      </c>
      <c r="AE74" s="23" t="s">
        <v>38</v>
      </c>
      <c r="AF74" s="24">
        <v>0.17599999999999999</v>
      </c>
      <c r="AG74" s="24">
        <v>0.189</v>
      </c>
      <c r="AH74" s="24">
        <v>0.159</v>
      </c>
      <c r="AI74" s="23" t="s">
        <v>38</v>
      </c>
      <c r="AJ74" s="24" t="s">
        <v>38</v>
      </c>
      <c r="AK74" s="24">
        <v>0.155</v>
      </c>
      <c r="AL74" s="24">
        <v>0.27700000000000002</v>
      </c>
      <c r="AM74" s="24">
        <v>0.33100000000000002</v>
      </c>
      <c r="AN74" s="40">
        <v>0.248</v>
      </c>
      <c r="AO74" s="40" t="s">
        <v>38</v>
      </c>
      <c r="AP74" s="40" t="s">
        <v>38</v>
      </c>
      <c r="AQ74" s="40">
        <v>0.2145</v>
      </c>
      <c r="AR74" s="40" t="s">
        <v>38</v>
      </c>
      <c r="AS74" s="40">
        <v>0.192</v>
      </c>
      <c r="AT74" s="40" t="s">
        <v>38</v>
      </c>
      <c r="AU74" s="40">
        <v>0.16700000000000001</v>
      </c>
      <c r="AV74" s="40" t="s">
        <v>38</v>
      </c>
      <c r="AW74" s="40" t="s">
        <v>38</v>
      </c>
      <c r="AX74" s="40" t="s">
        <v>38</v>
      </c>
      <c r="AY74" s="40">
        <v>0.214</v>
      </c>
      <c r="AZ74" s="40">
        <v>0.19800000000000001</v>
      </c>
      <c r="BA74" s="40">
        <v>0.17799999999999999</v>
      </c>
      <c r="BB74" s="49">
        <v>0.1285</v>
      </c>
      <c r="BC74" s="40">
        <v>0.17399999999999999</v>
      </c>
      <c r="BD74" s="50">
        <v>0.19450000000000001</v>
      </c>
      <c r="BE74" s="50">
        <v>0.17799999999999999</v>
      </c>
      <c r="BF74" s="58">
        <v>0.13300000000000001</v>
      </c>
      <c r="BG74" s="40">
        <v>0.27050000000000002</v>
      </c>
      <c r="BH74" s="38" t="s">
        <v>38</v>
      </c>
      <c r="BI74" s="38" t="s">
        <v>38</v>
      </c>
      <c r="BJ74" s="38" t="s">
        <v>38</v>
      </c>
      <c r="BK74" s="38">
        <v>0.2525</v>
      </c>
      <c r="BL74" s="38" t="s">
        <v>38</v>
      </c>
      <c r="BM74" s="38" t="s">
        <v>38</v>
      </c>
      <c r="BN74" s="39" t="s">
        <v>38</v>
      </c>
      <c r="BO74" s="40" t="s">
        <v>38</v>
      </c>
      <c r="BP74" s="38" t="s">
        <v>38</v>
      </c>
      <c r="BQ74" s="38">
        <v>0.17749999999999999</v>
      </c>
      <c r="BR74" s="41">
        <v>0.192</v>
      </c>
      <c r="BS74" s="41">
        <v>0.17149999999999999</v>
      </c>
      <c r="BT74" s="41">
        <v>0.16750000000000001</v>
      </c>
      <c r="BU74" s="42">
        <v>0.18</v>
      </c>
      <c r="BV74" s="41" t="s">
        <v>38</v>
      </c>
      <c r="BW74" s="42" t="s">
        <v>38</v>
      </c>
      <c r="BX74" s="42" t="s">
        <v>38</v>
      </c>
      <c r="BY74" s="85">
        <f>(0.307+0.327)/2</f>
        <v>0.317</v>
      </c>
      <c r="BZ74" s="85">
        <f>(0.385+0.372)/2</f>
        <v>0.3785</v>
      </c>
      <c r="CA74" s="87">
        <v>0.28949999999999998</v>
      </c>
    </row>
    <row r="75" spans="1:79">
      <c r="A75" s="21" t="s">
        <v>24</v>
      </c>
      <c r="B75" s="82">
        <v>254463.46215599999</v>
      </c>
      <c r="C75" s="82">
        <v>4505623.0080000004</v>
      </c>
      <c r="D75" s="19">
        <v>0.30499999999999999</v>
      </c>
      <c r="E75" s="20">
        <v>0.27949999999999997</v>
      </c>
      <c r="F75" s="20">
        <v>0.29249999999999998</v>
      </c>
      <c r="G75" s="20">
        <v>0.30449999999999999</v>
      </c>
      <c r="H75" s="20">
        <v>0.28749999999999998</v>
      </c>
      <c r="I75" s="20">
        <v>0.2135</v>
      </c>
      <c r="J75" s="20">
        <v>0.17849999999999999</v>
      </c>
      <c r="K75" s="20">
        <v>0.1305</v>
      </c>
      <c r="L75" s="20">
        <v>0.13400000000000001</v>
      </c>
      <c r="M75" s="20">
        <v>0.124</v>
      </c>
      <c r="N75" s="16">
        <v>0.17949999999999999</v>
      </c>
      <c r="O75" s="16">
        <v>0.1235</v>
      </c>
      <c r="P75" s="23" t="s">
        <v>38</v>
      </c>
      <c r="Q75" s="16">
        <v>0.20150000000000001</v>
      </c>
      <c r="R75" s="23" t="s">
        <v>38</v>
      </c>
      <c r="S75" s="23" t="s">
        <v>38</v>
      </c>
      <c r="T75" s="24">
        <v>0.3</v>
      </c>
      <c r="U75" s="24">
        <v>0.34200000000000003</v>
      </c>
      <c r="V75" s="23" t="s">
        <v>38</v>
      </c>
      <c r="W75" s="24">
        <v>0.39</v>
      </c>
      <c r="X75" s="24">
        <v>0.30499999999999999</v>
      </c>
      <c r="Y75" s="24" t="s">
        <v>38</v>
      </c>
      <c r="Z75" s="23">
        <v>0.29499999999999998</v>
      </c>
      <c r="AA75" s="24">
        <v>0.29399999999999998</v>
      </c>
      <c r="AB75" s="24" t="s">
        <v>38</v>
      </c>
      <c r="AC75" s="24">
        <v>0.314</v>
      </c>
      <c r="AD75" s="24">
        <v>0.30099999999999999</v>
      </c>
      <c r="AE75" s="23" t="s">
        <v>38</v>
      </c>
      <c r="AF75" s="24">
        <v>0.19</v>
      </c>
      <c r="AG75" s="24">
        <v>0.223</v>
      </c>
      <c r="AH75" s="24">
        <v>0.16200000000000001</v>
      </c>
      <c r="AI75" s="23" t="s">
        <v>38</v>
      </c>
      <c r="AJ75" s="24" t="s">
        <v>38</v>
      </c>
      <c r="AK75" s="24">
        <v>0.17100000000000001</v>
      </c>
      <c r="AL75" s="24">
        <v>0.35299999999999998</v>
      </c>
      <c r="AM75" s="24">
        <v>0.316</v>
      </c>
      <c r="AN75" s="40">
        <v>0.25900000000000001</v>
      </c>
      <c r="AO75" s="40" t="s">
        <v>38</v>
      </c>
      <c r="AP75" s="40" t="s">
        <v>38</v>
      </c>
      <c r="AQ75" s="40">
        <v>0.23200000000000001</v>
      </c>
      <c r="AR75" s="40" t="s">
        <v>38</v>
      </c>
      <c r="AS75" s="40">
        <v>0.21</v>
      </c>
      <c r="AT75" s="40" t="s">
        <v>38</v>
      </c>
      <c r="AU75" s="40">
        <v>0.18099999999999999</v>
      </c>
      <c r="AV75" s="40" t="s">
        <v>38</v>
      </c>
      <c r="AW75" s="40" t="s">
        <v>38</v>
      </c>
      <c r="AX75" s="40" t="s">
        <v>38</v>
      </c>
      <c r="AY75" s="40">
        <v>0.17199999999999999</v>
      </c>
      <c r="AZ75" s="40">
        <v>0.14499999999999999</v>
      </c>
      <c r="BA75" s="40">
        <v>0.20599999999999999</v>
      </c>
      <c r="BB75" s="49">
        <v>0.13550000000000001</v>
      </c>
      <c r="BC75" s="40" t="s">
        <v>38</v>
      </c>
      <c r="BD75" s="50">
        <v>0.191</v>
      </c>
      <c r="BE75" s="50">
        <v>0.19650000000000001</v>
      </c>
      <c r="BF75" s="58">
        <v>0.11899999999999999</v>
      </c>
      <c r="BG75" s="40">
        <v>0.253</v>
      </c>
      <c r="BH75" s="38" t="s">
        <v>38</v>
      </c>
      <c r="BI75" s="38" t="s">
        <v>38</v>
      </c>
      <c r="BJ75" s="38" t="s">
        <v>38</v>
      </c>
      <c r="BK75" s="38">
        <v>0.28149999999999997</v>
      </c>
      <c r="BL75" s="38" t="s">
        <v>38</v>
      </c>
      <c r="BM75" s="38" t="s">
        <v>38</v>
      </c>
      <c r="BN75" s="39" t="s">
        <v>38</v>
      </c>
      <c r="BO75" s="40" t="s">
        <v>38</v>
      </c>
      <c r="BP75" s="38" t="s">
        <v>38</v>
      </c>
      <c r="BQ75" s="38">
        <v>0.17399999999999999</v>
      </c>
      <c r="BR75" s="41">
        <v>0.20050000000000001</v>
      </c>
      <c r="BS75" s="41">
        <v>0.17699999999999999</v>
      </c>
      <c r="BT75" s="41">
        <v>0.17699999999999999</v>
      </c>
      <c r="BU75" s="42">
        <v>0.20949999999999999</v>
      </c>
      <c r="BV75" s="41" t="s">
        <v>38</v>
      </c>
      <c r="BW75" s="42" t="s">
        <v>38</v>
      </c>
      <c r="BX75" s="42" t="s">
        <v>38</v>
      </c>
      <c r="BY75" s="85">
        <f>(0.299+0.305)/2</f>
        <v>0.30199999999999999</v>
      </c>
      <c r="BZ75" s="85">
        <f>(0.387+0.39)/2</f>
        <v>0.38850000000000001</v>
      </c>
      <c r="CA75" s="87">
        <v>0.29549999999999998</v>
      </c>
    </row>
    <row r="76" spans="1:79">
      <c r="A76" s="21" t="s">
        <v>25</v>
      </c>
      <c r="B76" s="82">
        <v>254463.55436400001</v>
      </c>
      <c r="C76" s="82">
        <v>4505624.7253999999</v>
      </c>
      <c r="D76" s="19">
        <v>0.25850000000000001</v>
      </c>
      <c r="E76" s="20">
        <v>0.26650000000000001</v>
      </c>
      <c r="F76" s="20">
        <v>0.28799999999999998</v>
      </c>
      <c r="G76" s="20">
        <v>0.28799999999999998</v>
      </c>
      <c r="H76" s="20">
        <v>0.27500000000000002</v>
      </c>
      <c r="I76" s="20">
        <v>0.22699999999999998</v>
      </c>
      <c r="J76" s="20">
        <v>0.19400000000000001</v>
      </c>
      <c r="K76" s="20">
        <v>0.13400000000000001</v>
      </c>
      <c r="L76" s="20">
        <v>0.13550000000000001</v>
      </c>
      <c r="M76" s="20">
        <v>0.124</v>
      </c>
      <c r="N76" s="16">
        <v>0.1865</v>
      </c>
      <c r="O76" s="16">
        <v>0.1235</v>
      </c>
      <c r="P76" s="23" t="s">
        <v>38</v>
      </c>
      <c r="Q76" s="16">
        <v>0.20899999999999999</v>
      </c>
      <c r="R76" s="23" t="s">
        <v>38</v>
      </c>
      <c r="S76" s="23" t="s">
        <v>38</v>
      </c>
      <c r="T76" s="24">
        <v>0.23899999999999999</v>
      </c>
      <c r="U76" s="24">
        <v>0.29399999999999998</v>
      </c>
      <c r="V76" s="23" t="s">
        <v>38</v>
      </c>
      <c r="W76" s="24">
        <v>0.29399999999999998</v>
      </c>
      <c r="X76" s="24">
        <v>0.29099999999999998</v>
      </c>
      <c r="Y76" s="24" t="s">
        <v>38</v>
      </c>
      <c r="Z76" s="23">
        <v>0.30199999999999999</v>
      </c>
      <c r="AA76" s="24">
        <v>0.29599999999999999</v>
      </c>
      <c r="AB76" s="24" t="s">
        <v>38</v>
      </c>
      <c r="AC76" s="24">
        <v>0.28199999999999997</v>
      </c>
      <c r="AD76" s="24">
        <v>0.28599999999999998</v>
      </c>
      <c r="AE76" s="23" t="s">
        <v>38</v>
      </c>
      <c r="AF76" s="24">
        <v>0.19500000000000001</v>
      </c>
      <c r="AG76" s="24">
        <v>0.17499999999999999</v>
      </c>
      <c r="AH76" s="24">
        <v>0.16500000000000001</v>
      </c>
      <c r="AI76" s="23" t="s">
        <v>38</v>
      </c>
      <c r="AJ76" s="24" t="s">
        <v>38</v>
      </c>
      <c r="AK76" s="24">
        <v>0.161</v>
      </c>
      <c r="AL76" s="24">
        <v>0.253</v>
      </c>
      <c r="AM76" s="24">
        <v>0.33800000000000002</v>
      </c>
      <c r="AN76" s="40">
        <v>0.23899999999999999</v>
      </c>
      <c r="AO76" s="40" t="s">
        <v>38</v>
      </c>
      <c r="AP76" s="40" t="s">
        <v>38</v>
      </c>
      <c r="AQ76" s="40">
        <v>0.23350000000000001</v>
      </c>
      <c r="AR76" s="40" t="s">
        <v>38</v>
      </c>
      <c r="AS76" s="40">
        <v>0.20100000000000001</v>
      </c>
      <c r="AT76" s="40" t="s">
        <v>38</v>
      </c>
      <c r="AU76" s="40">
        <v>0.17799999999999999</v>
      </c>
      <c r="AV76" s="40" t="s">
        <v>38</v>
      </c>
      <c r="AW76" s="40" t="s">
        <v>38</v>
      </c>
      <c r="AX76" s="40" t="s">
        <v>38</v>
      </c>
      <c r="AY76" s="40" t="s">
        <v>38</v>
      </c>
      <c r="AZ76" s="40" t="s">
        <v>38</v>
      </c>
      <c r="BA76" s="40">
        <v>0.17899999999999999</v>
      </c>
      <c r="BB76" s="49">
        <v>0.155</v>
      </c>
      <c r="BC76" s="40">
        <v>0.1925</v>
      </c>
      <c r="BD76" s="50">
        <v>0.24399999999999999</v>
      </c>
      <c r="BE76" s="50">
        <v>0.20799999999999999</v>
      </c>
      <c r="BF76" s="58">
        <v>0.14299999999999999</v>
      </c>
      <c r="BG76" s="40">
        <v>0.27250000000000002</v>
      </c>
      <c r="BH76" s="38" t="s">
        <v>38</v>
      </c>
      <c r="BI76" s="38" t="s">
        <v>38</v>
      </c>
      <c r="BJ76" s="38" t="s">
        <v>38</v>
      </c>
      <c r="BK76" s="38">
        <v>0.27300000000000002</v>
      </c>
      <c r="BL76" s="38" t="s">
        <v>38</v>
      </c>
      <c r="BM76" s="38" t="s">
        <v>38</v>
      </c>
      <c r="BN76" s="39" t="s">
        <v>38</v>
      </c>
      <c r="BO76" s="40" t="s">
        <v>38</v>
      </c>
      <c r="BP76" s="38" t="s">
        <v>38</v>
      </c>
      <c r="BQ76" s="38">
        <v>0.1865</v>
      </c>
      <c r="BR76" s="41">
        <v>0.20150000000000001</v>
      </c>
      <c r="BS76" s="41">
        <v>0.18149999999999999</v>
      </c>
      <c r="BT76" s="41">
        <v>0.17599999999999999</v>
      </c>
      <c r="BU76" s="42">
        <v>0.193</v>
      </c>
      <c r="BV76" s="41" t="s">
        <v>38</v>
      </c>
      <c r="BW76" s="42" t="s">
        <v>38</v>
      </c>
      <c r="BX76" s="42" t="s">
        <v>38</v>
      </c>
      <c r="BY76" s="85">
        <f>(0.296+0.279)/2</f>
        <v>0.28749999999999998</v>
      </c>
      <c r="BZ76" s="85">
        <f>(0.374+0.376)/2</f>
        <v>0.375</v>
      </c>
      <c r="CA76" s="87">
        <v>0.28999999999999998</v>
      </c>
    </row>
    <row r="77" spans="1:79">
      <c r="A77" s="21">
        <v>56</v>
      </c>
      <c r="B77" s="82">
        <v>254461.96097399999</v>
      </c>
      <c r="C77" s="82">
        <v>4505643.9971200004</v>
      </c>
      <c r="D77" s="19" t="s">
        <v>38</v>
      </c>
      <c r="E77" s="19" t="s">
        <v>38</v>
      </c>
      <c r="F77" s="19" t="s">
        <v>38</v>
      </c>
      <c r="G77" s="19" t="s">
        <v>38</v>
      </c>
      <c r="H77" s="19" t="s">
        <v>38</v>
      </c>
      <c r="I77" s="19" t="s">
        <v>38</v>
      </c>
      <c r="J77" s="19" t="s">
        <v>38</v>
      </c>
      <c r="K77" s="19" t="s">
        <v>38</v>
      </c>
      <c r="L77" s="19" t="s">
        <v>38</v>
      </c>
      <c r="M77" s="19" t="s">
        <v>38</v>
      </c>
      <c r="N77" s="23" t="s">
        <v>38</v>
      </c>
      <c r="O77" s="23" t="s">
        <v>38</v>
      </c>
      <c r="P77" s="23" t="s">
        <v>38</v>
      </c>
      <c r="Q77" s="23" t="s">
        <v>38</v>
      </c>
      <c r="R77" s="23" t="s">
        <v>38</v>
      </c>
      <c r="S77" s="23" t="s">
        <v>38</v>
      </c>
      <c r="T77" s="23" t="s">
        <v>38</v>
      </c>
      <c r="U77" s="23" t="s">
        <v>38</v>
      </c>
      <c r="V77" s="23" t="s">
        <v>38</v>
      </c>
      <c r="W77" s="23" t="s">
        <v>38</v>
      </c>
      <c r="X77" s="23" t="s">
        <v>38</v>
      </c>
      <c r="Y77" s="23" t="s">
        <v>38</v>
      </c>
      <c r="Z77" s="23" t="s">
        <v>38</v>
      </c>
      <c r="AA77" s="23" t="s">
        <v>38</v>
      </c>
      <c r="AB77" s="23" t="s">
        <v>38</v>
      </c>
      <c r="AC77" s="23" t="s">
        <v>38</v>
      </c>
      <c r="AD77" s="23" t="s">
        <v>38</v>
      </c>
      <c r="AE77" s="23" t="s">
        <v>38</v>
      </c>
      <c r="AF77" s="23" t="s">
        <v>38</v>
      </c>
      <c r="AG77" s="23" t="s">
        <v>38</v>
      </c>
      <c r="AH77" s="23" t="s">
        <v>38</v>
      </c>
      <c r="AI77" s="23" t="s">
        <v>38</v>
      </c>
      <c r="AJ77" s="23" t="s">
        <v>38</v>
      </c>
      <c r="AK77" s="23" t="s">
        <v>38</v>
      </c>
      <c r="AL77" s="23" t="s">
        <v>38</v>
      </c>
      <c r="AM77" s="23" t="s">
        <v>38</v>
      </c>
      <c r="AN77" s="23" t="s">
        <v>38</v>
      </c>
      <c r="AO77" s="23" t="s">
        <v>38</v>
      </c>
      <c r="AP77" s="23" t="s">
        <v>38</v>
      </c>
      <c r="AQ77" s="23" t="s">
        <v>38</v>
      </c>
      <c r="AR77" s="23" t="s">
        <v>38</v>
      </c>
      <c r="AS77" s="23" t="s">
        <v>38</v>
      </c>
      <c r="AT77" s="23" t="s">
        <v>38</v>
      </c>
      <c r="AU77" s="23" t="s">
        <v>38</v>
      </c>
      <c r="AV77" s="23" t="s">
        <v>38</v>
      </c>
      <c r="AW77" s="23" t="s">
        <v>38</v>
      </c>
      <c r="AX77" s="23" t="s">
        <v>38</v>
      </c>
      <c r="AY77" s="23" t="s">
        <v>38</v>
      </c>
      <c r="AZ77" s="23" t="s">
        <v>38</v>
      </c>
      <c r="BA77" s="23" t="s">
        <v>38</v>
      </c>
      <c r="BB77" s="23" t="s">
        <v>38</v>
      </c>
      <c r="BC77" s="23" t="s">
        <v>38</v>
      </c>
      <c r="BD77" s="23" t="s">
        <v>38</v>
      </c>
      <c r="BE77" s="23" t="s">
        <v>38</v>
      </c>
      <c r="BF77" s="23" t="s">
        <v>38</v>
      </c>
      <c r="BG77" s="23" t="s">
        <v>38</v>
      </c>
      <c r="BH77" s="23" t="s">
        <v>38</v>
      </c>
      <c r="BI77" s="23" t="s">
        <v>38</v>
      </c>
      <c r="BJ77" s="23" t="s">
        <v>38</v>
      </c>
      <c r="BK77" s="23" t="s">
        <v>38</v>
      </c>
      <c r="BL77" s="23" t="s">
        <v>38</v>
      </c>
      <c r="BM77" s="23" t="s">
        <v>38</v>
      </c>
      <c r="BN77" s="23" t="s">
        <v>38</v>
      </c>
      <c r="BO77" s="23" t="s">
        <v>38</v>
      </c>
      <c r="BP77" s="23" t="s">
        <v>38</v>
      </c>
      <c r="BQ77" s="23" t="s">
        <v>38</v>
      </c>
      <c r="BR77" s="23" t="s">
        <v>38</v>
      </c>
      <c r="BS77" s="23" t="s">
        <v>38</v>
      </c>
      <c r="BT77" s="23" t="s">
        <v>38</v>
      </c>
      <c r="BU77" s="23" t="s">
        <v>38</v>
      </c>
      <c r="BV77" s="41" t="s">
        <v>38</v>
      </c>
      <c r="BW77" s="42" t="s">
        <v>38</v>
      </c>
      <c r="BX77" s="42" t="s">
        <v>38</v>
      </c>
      <c r="BY77" s="69" t="s">
        <v>38</v>
      </c>
      <c r="BZ77" s="69" t="s">
        <v>38</v>
      </c>
      <c r="CA77" s="86" t="s">
        <v>38</v>
      </c>
    </row>
    <row r="78" spans="1:79">
      <c r="A78" s="21">
        <v>57</v>
      </c>
      <c r="B78" s="83">
        <v>254450.62839500001</v>
      </c>
      <c r="C78" s="83">
        <v>4505644.3176199999</v>
      </c>
      <c r="D78" s="19" t="s">
        <v>38</v>
      </c>
      <c r="E78" s="19" t="s">
        <v>38</v>
      </c>
      <c r="F78" s="19" t="s">
        <v>38</v>
      </c>
      <c r="G78" s="19" t="s">
        <v>38</v>
      </c>
      <c r="H78" s="19" t="s">
        <v>38</v>
      </c>
      <c r="I78" s="19" t="s">
        <v>38</v>
      </c>
      <c r="J78" s="19" t="s">
        <v>38</v>
      </c>
      <c r="K78" s="19" t="s">
        <v>38</v>
      </c>
      <c r="L78" s="19" t="s">
        <v>38</v>
      </c>
      <c r="M78" s="19" t="s">
        <v>38</v>
      </c>
      <c r="N78" s="23" t="s">
        <v>38</v>
      </c>
      <c r="O78" s="23" t="s">
        <v>38</v>
      </c>
      <c r="P78" s="23" t="s">
        <v>38</v>
      </c>
      <c r="Q78" s="23" t="s">
        <v>38</v>
      </c>
      <c r="R78" s="23" t="s">
        <v>38</v>
      </c>
      <c r="S78" s="23" t="s">
        <v>38</v>
      </c>
      <c r="T78" s="23" t="s">
        <v>38</v>
      </c>
      <c r="U78" s="23" t="s">
        <v>38</v>
      </c>
      <c r="V78" s="23" t="s">
        <v>38</v>
      </c>
      <c r="W78" s="23" t="s">
        <v>38</v>
      </c>
      <c r="X78" s="23" t="s">
        <v>38</v>
      </c>
      <c r="Y78" s="23" t="s">
        <v>38</v>
      </c>
      <c r="Z78" s="23" t="s">
        <v>38</v>
      </c>
      <c r="AA78" s="23" t="s">
        <v>38</v>
      </c>
      <c r="AB78" s="23" t="s">
        <v>38</v>
      </c>
      <c r="AC78" s="23" t="s">
        <v>38</v>
      </c>
      <c r="AD78" s="23" t="s">
        <v>38</v>
      </c>
      <c r="AE78" s="23" t="s">
        <v>38</v>
      </c>
      <c r="AF78" s="23" t="s">
        <v>38</v>
      </c>
      <c r="AG78" s="23" t="s">
        <v>38</v>
      </c>
      <c r="AH78" s="23" t="s">
        <v>38</v>
      </c>
      <c r="AI78" s="23" t="s">
        <v>38</v>
      </c>
      <c r="AJ78" s="23" t="s">
        <v>38</v>
      </c>
      <c r="AK78" s="23" t="s">
        <v>38</v>
      </c>
      <c r="AL78" s="23" t="s">
        <v>38</v>
      </c>
      <c r="AM78" s="23" t="s">
        <v>38</v>
      </c>
      <c r="AN78" s="23" t="s">
        <v>38</v>
      </c>
      <c r="AO78" s="23" t="s">
        <v>38</v>
      </c>
      <c r="AP78" s="23" t="s">
        <v>38</v>
      </c>
      <c r="AQ78" s="23" t="s">
        <v>38</v>
      </c>
      <c r="AR78" s="23" t="s">
        <v>38</v>
      </c>
      <c r="AS78" s="23" t="s">
        <v>38</v>
      </c>
      <c r="AT78" s="23" t="s">
        <v>38</v>
      </c>
      <c r="AU78" s="23" t="s">
        <v>38</v>
      </c>
      <c r="AV78" s="23" t="s">
        <v>38</v>
      </c>
      <c r="AW78" s="23" t="s">
        <v>38</v>
      </c>
      <c r="AX78" s="23" t="s">
        <v>38</v>
      </c>
      <c r="AY78" s="23" t="s">
        <v>38</v>
      </c>
      <c r="AZ78" s="23" t="s">
        <v>38</v>
      </c>
      <c r="BA78" s="23" t="s">
        <v>38</v>
      </c>
      <c r="BB78" s="23" t="s">
        <v>38</v>
      </c>
      <c r="BC78" s="23" t="s">
        <v>38</v>
      </c>
      <c r="BD78" s="23" t="s">
        <v>38</v>
      </c>
      <c r="BE78" s="23" t="s">
        <v>38</v>
      </c>
      <c r="BF78" s="23" t="s">
        <v>38</v>
      </c>
      <c r="BG78" s="23" t="s">
        <v>38</v>
      </c>
      <c r="BH78" s="23" t="s">
        <v>38</v>
      </c>
      <c r="BI78" s="23" t="s">
        <v>38</v>
      </c>
      <c r="BJ78" s="23" t="s">
        <v>38</v>
      </c>
      <c r="BK78" s="23" t="s">
        <v>38</v>
      </c>
      <c r="BL78" s="23" t="s">
        <v>38</v>
      </c>
      <c r="BM78" s="23" t="s">
        <v>38</v>
      </c>
      <c r="BN78" s="23" t="s">
        <v>38</v>
      </c>
      <c r="BO78" s="23" t="s">
        <v>38</v>
      </c>
      <c r="BP78" s="23" t="s">
        <v>38</v>
      </c>
      <c r="BQ78" s="23" t="s">
        <v>38</v>
      </c>
      <c r="BR78" s="23" t="s">
        <v>38</v>
      </c>
      <c r="BS78" s="23" t="s">
        <v>38</v>
      </c>
      <c r="BT78" s="23" t="s">
        <v>38</v>
      </c>
      <c r="BU78" s="23" t="s">
        <v>38</v>
      </c>
      <c r="BV78" s="41" t="s">
        <v>38</v>
      </c>
      <c r="BW78" s="42" t="s">
        <v>38</v>
      </c>
      <c r="BX78" s="42" t="s">
        <v>38</v>
      </c>
      <c r="BY78" s="69" t="s">
        <v>38</v>
      </c>
      <c r="BZ78" s="69" t="s">
        <v>38</v>
      </c>
      <c r="CA78" s="86" t="s">
        <v>38</v>
      </c>
    </row>
    <row r="79" spans="1:79">
      <c r="A79" s="21">
        <v>58</v>
      </c>
      <c r="B79" s="83">
        <v>254478.967924</v>
      </c>
      <c r="C79" s="83">
        <v>4505639.2194499997</v>
      </c>
      <c r="D79" s="19" t="s">
        <v>38</v>
      </c>
      <c r="E79" s="19" t="s">
        <v>38</v>
      </c>
      <c r="F79" s="19" t="s">
        <v>38</v>
      </c>
      <c r="G79" s="19" t="s">
        <v>38</v>
      </c>
      <c r="H79" s="19" t="s">
        <v>38</v>
      </c>
      <c r="I79" s="19" t="s">
        <v>38</v>
      </c>
      <c r="J79" s="19" t="s">
        <v>38</v>
      </c>
      <c r="K79" s="19" t="s">
        <v>38</v>
      </c>
      <c r="L79" s="19" t="s">
        <v>38</v>
      </c>
      <c r="M79" s="19" t="s">
        <v>38</v>
      </c>
      <c r="N79" s="23" t="s">
        <v>38</v>
      </c>
      <c r="O79" s="23" t="s">
        <v>38</v>
      </c>
      <c r="P79" s="23" t="s">
        <v>38</v>
      </c>
      <c r="Q79" s="23" t="s">
        <v>38</v>
      </c>
      <c r="R79" s="23" t="s">
        <v>38</v>
      </c>
      <c r="S79" s="23" t="s">
        <v>38</v>
      </c>
      <c r="T79" s="23" t="s">
        <v>38</v>
      </c>
      <c r="U79" s="23" t="s">
        <v>38</v>
      </c>
      <c r="V79" s="23" t="s">
        <v>38</v>
      </c>
      <c r="W79" s="23" t="s">
        <v>38</v>
      </c>
      <c r="X79" s="23" t="s">
        <v>38</v>
      </c>
      <c r="Y79" s="23" t="s">
        <v>38</v>
      </c>
      <c r="Z79" s="23" t="s">
        <v>38</v>
      </c>
      <c r="AA79" s="23" t="s">
        <v>38</v>
      </c>
      <c r="AB79" s="23" t="s">
        <v>38</v>
      </c>
      <c r="AC79" s="23" t="s">
        <v>38</v>
      </c>
      <c r="AD79" s="23" t="s">
        <v>38</v>
      </c>
      <c r="AE79" s="23" t="s">
        <v>38</v>
      </c>
      <c r="AF79" s="23" t="s">
        <v>38</v>
      </c>
      <c r="AG79" s="23" t="s">
        <v>38</v>
      </c>
      <c r="AH79" s="23" t="s">
        <v>38</v>
      </c>
      <c r="AI79" s="23" t="s">
        <v>38</v>
      </c>
      <c r="AJ79" s="23" t="s">
        <v>38</v>
      </c>
      <c r="AK79" s="23" t="s">
        <v>38</v>
      </c>
      <c r="AL79" s="23" t="s">
        <v>38</v>
      </c>
      <c r="AM79" s="23" t="s">
        <v>38</v>
      </c>
      <c r="AN79" s="23" t="s">
        <v>38</v>
      </c>
      <c r="AO79" s="23" t="s">
        <v>38</v>
      </c>
      <c r="AP79" s="23" t="s">
        <v>38</v>
      </c>
      <c r="AQ79" s="23" t="s">
        <v>38</v>
      </c>
      <c r="AR79" s="23" t="s">
        <v>38</v>
      </c>
      <c r="AS79" s="23" t="s">
        <v>38</v>
      </c>
      <c r="AT79" s="23" t="s">
        <v>38</v>
      </c>
      <c r="AU79" s="23" t="s">
        <v>38</v>
      </c>
      <c r="AV79" s="23" t="s">
        <v>38</v>
      </c>
      <c r="AW79" s="23" t="s">
        <v>38</v>
      </c>
      <c r="AX79" s="23" t="s">
        <v>38</v>
      </c>
      <c r="AY79" s="23" t="s">
        <v>38</v>
      </c>
      <c r="AZ79" s="23" t="s">
        <v>38</v>
      </c>
      <c r="BA79" s="23" t="s">
        <v>38</v>
      </c>
      <c r="BB79" s="23" t="s">
        <v>38</v>
      </c>
      <c r="BC79" s="23" t="s">
        <v>38</v>
      </c>
      <c r="BD79" s="23" t="s">
        <v>38</v>
      </c>
      <c r="BE79" s="23" t="s">
        <v>38</v>
      </c>
      <c r="BF79" s="23" t="s">
        <v>38</v>
      </c>
      <c r="BG79" s="23" t="s">
        <v>38</v>
      </c>
      <c r="BH79" s="23" t="s">
        <v>38</v>
      </c>
      <c r="BI79" s="23" t="s">
        <v>38</v>
      </c>
      <c r="BJ79" s="23" t="s">
        <v>38</v>
      </c>
      <c r="BK79" s="23" t="s">
        <v>38</v>
      </c>
      <c r="BL79" s="23" t="s">
        <v>38</v>
      </c>
      <c r="BM79" s="23" t="s">
        <v>38</v>
      </c>
      <c r="BN79" s="23" t="s">
        <v>38</v>
      </c>
      <c r="BO79" s="23" t="s">
        <v>38</v>
      </c>
      <c r="BP79" s="23" t="s">
        <v>38</v>
      </c>
      <c r="BQ79" s="23" t="s">
        <v>38</v>
      </c>
      <c r="BR79" s="23" t="s">
        <v>38</v>
      </c>
      <c r="BS79" s="23" t="s">
        <v>38</v>
      </c>
      <c r="BT79" s="23" t="s">
        <v>38</v>
      </c>
      <c r="BU79" s="23" t="s">
        <v>38</v>
      </c>
      <c r="BV79" s="41" t="s">
        <v>38</v>
      </c>
      <c r="BW79" s="42" t="s">
        <v>38</v>
      </c>
      <c r="BX79" s="42" t="s">
        <v>38</v>
      </c>
      <c r="BY79" s="69" t="s">
        <v>38</v>
      </c>
      <c r="BZ79" s="69" t="s">
        <v>38</v>
      </c>
      <c r="CA79" s="86" t="s">
        <v>38</v>
      </c>
    </row>
    <row r="80" spans="1:79">
      <c r="A80" s="21">
        <v>59</v>
      </c>
      <c r="B80" s="83">
        <v>254508.20847300001</v>
      </c>
      <c r="C80" s="83">
        <v>4505675.6492100004</v>
      </c>
      <c r="D80" s="19" t="s">
        <v>38</v>
      </c>
      <c r="E80" s="19" t="s">
        <v>38</v>
      </c>
      <c r="F80" s="19" t="s">
        <v>38</v>
      </c>
      <c r="G80" s="19" t="s">
        <v>38</v>
      </c>
      <c r="H80" s="19" t="s">
        <v>38</v>
      </c>
      <c r="I80" s="19" t="s">
        <v>38</v>
      </c>
      <c r="J80" s="19" t="s">
        <v>38</v>
      </c>
      <c r="K80" s="19" t="s">
        <v>38</v>
      </c>
      <c r="L80" s="19" t="s">
        <v>38</v>
      </c>
      <c r="M80" s="19" t="s">
        <v>38</v>
      </c>
      <c r="N80" s="23" t="s">
        <v>38</v>
      </c>
      <c r="O80" s="23" t="s">
        <v>38</v>
      </c>
      <c r="P80" s="23" t="s">
        <v>38</v>
      </c>
      <c r="Q80" s="23" t="s">
        <v>38</v>
      </c>
      <c r="R80" s="23" t="s">
        <v>38</v>
      </c>
      <c r="S80" s="23" t="s">
        <v>38</v>
      </c>
      <c r="T80" s="23" t="s">
        <v>38</v>
      </c>
      <c r="U80" s="23" t="s">
        <v>38</v>
      </c>
      <c r="V80" s="23" t="s">
        <v>38</v>
      </c>
      <c r="W80" s="23" t="s">
        <v>38</v>
      </c>
      <c r="X80" s="23" t="s">
        <v>38</v>
      </c>
      <c r="Y80" s="23" t="s">
        <v>38</v>
      </c>
      <c r="Z80" s="23" t="s">
        <v>38</v>
      </c>
      <c r="AA80" s="23" t="s">
        <v>38</v>
      </c>
      <c r="AB80" s="23" t="s">
        <v>38</v>
      </c>
      <c r="AC80" s="23" t="s">
        <v>38</v>
      </c>
      <c r="AD80" s="23" t="s">
        <v>38</v>
      </c>
      <c r="AE80" s="23" t="s">
        <v>38</v>
      </c>
      <c r="AF80" s="23" t="s">
        <v>38</v>
      </c>
      <c r="AG80" s="23" t="s">
        <v>38</v>
      </c>
      <c r="AH80" s="23" t="s">
        <v>38</v>
      </c>
      <c r="AI80" s="23" t="s">
        <v>38</v>
      </c>
      <c r="AJ80" s="23" t="s">
        <v>38</v>
      </c>
      <c r="AK80" s="23" t="s">
        <v>38</v>
      </c>
      <c r="AL80" s="23" t="s">
        <v>38</v>
      </c>
      <c r="AM80" s="23" t="s">
        <v>38</v>
      </c>
      <c r="AN80" s="23" t="s">
        <v>38</v>
      </c>
      <c r="AO80" s="23" t="s">
        <v>38</v>
      </c>
      <c r="AP80" s="23" t="s">
        <v>38</v>
      </c>
      <c r="AQ80" s="23" t="s">
        <v>38</v>
      </c>
      <c r="AR80" s="23" t="s">
        <v>38</v>
      </c>
      <c r="AS80" s="23" t="s">
        <v>38</v>
      </c>
      <c r="AT80" s="23" t="s">
        <v>38</v>
      </c>
      <c r="AU80" s="23" t="s">
        <v>38</v>
      </c>
      <c r="AV80" s="23" t="s">
        <v>38</v>
      </c>
      <c r="AW80" s="23" t="s">
        <v>38</v>
      </c>
      <c r="AX80" s="23" t="s">
        <v>38</v>
      </c>
      <c r="AY80" s="23" t="s">
        <v>38</v>
      </c>
      <c r="AZ80" s="23" t="s">
        <v>38</v>
      </c>
      <c r="BA80" s="23" t="s">
        <v>38</v>
      </c>
      <c r="BB80" s="23" t="s">
        <v>38</v>
      </c>
      <c r="BC80" s="23" t="s">
        <v>38</v>
      </c>
      <c r="BD80" s="23" t="s">
        <v>38</v>
      </c>
      <c r="BE80" s="23" t="s">
        <v>38</v>
      </c>
      <c r="BF80" s="23" t="s">
        <v>38</v>
      </c>
      <c r="BG80" s="23" t="s">
        <v>38</v>
      </c>
      <c r="BH80" s="23" t="s">
        <v>38</v>
      </c>
      <c r="BI80" s="23" t="s">
        <v>38</v>
      </c>
      <c r="BJ80" s="23" t="s">
        <v>38</v>
      </c>
      <c r="BK80" s="23" t="s">
        <v>38</v>
      </c>
      <c r="BL80" s="23" t="s">
        <v>38</v>
      </c>
      <c r="BM80" s="23" t="s">
        <v>38</v>
      </c>
      <c r="BN80" s="23" t="s">
        <v>38</v>
      </c>
      <c r="BO80" s="23" t="s">
        <v>38</v>
      </c>
      <c r="BP80" s="23" t="s">
        <v>38</v>
      </c>
      <c r="BQ80" s="23" t="s">
        <v>38</v>
      </c>
      <c r="BR80" s="23" t="s">
        <v>38</v>
      </c>
      <c r="BS80" s="23" t="s">
        <v>38</v>
      </c>
      <c r="BT80" s="23" t="s">
        <v>38</v>
      </c>
      <c r="BU80" s="23" t="s">
        <v>38</v>
      </c>
      <c r="BV80" s="41" t="s">
        <v>38</v>
      </c>
      <c r="BW80" s="42" t="s">
        <v>38</v>
      </c>
      <c r="BX80" s="42" t="s">
        <v>38</v>
      </c>
      <c r="BY80" s="69" t="s">
        <v>38</v>
      </c>
      <c r="BZ80" s="69" t="s">
        <v>38</v>
      </c>
      <c r="CA80" s="86" t="s">
        <v>38</v>
      </c>
    </row>
    <row r="81" spans="1:79">
      <c r="A81" s="21">
        <v>60</v>
      </c>
      <c r="B81" s="82">
        <v>254489.42741900001</v>
      </c>
      <c r="C81" s="82">
        <v>4505627.2146600001</v>
      </c>
      <c r="D81" s="19">
        <v>0.158</v>
      </c>
      <c r="E81" s="20">
        <v>0.16200000000000001</v>
      </c>
      <c r="F81" s="20">
        <v>0.19450000000000001</v>
      </c>
      <c r="G81" s="20">
        <v>0.187</v>
      </c>
      <c r="H81" s="19" t="s">
        <v>38</v>
      </c>
      <c r="I81" s="20">
        <v>0.15300000000000002</v>
      </c>
      <c r="J81" s="20">
        <v>0.13700000000000001</v>
      </c>
      <c r="K81" s="20">
        <v>0.1235</v>
      </c>
      <c r="L81" s="20" t="s">
        <v>38</v>
      </c>
      <c r="M81" s="20" t="s">
        <v>38</v>
      </c>
      <c r="N81" s="23" t="s">
        <v>38</v>
      </c>
      <c r="O81" s="23" t="s">
        <v>38</v>
      </c>
      <c r="P81" s="23" t="s">
        <v>38</v>
      </c>
      <c r="Q81" s="23" t="s">
        <v>38</v>
      </c>
      <c r="R81" s="23" t="s">
        <v>38</v>
      </c>
      <c r="S81" s="23" t="s">
        <v>38</v>
      </c>
      <c r="T81" s="23">
        <v>0.20300000000000001</v>
      </c>
      <c r="U81" s="23">
        <v>0.193</v>
      </c>
      <c r="V81" s="23" t="s">
        <v>38</v>
      </c>
      <c r="W81" s="23">
        <v>0.20899999999999999</v>
      </c>
      <c r="X81" s="23">
        <v>0.19400000000000001</v>
      </c>
      <c r="Y81" s="23">
        <v>0.17199999999999999</v>
      </c>
      <c r="Z81" s="23">
        <v>0.188</v>
      </c>
      <c r="AA81" s="23">
        <v>0.20799999999999999</v>
      </c>
      <c r="AB81" s="23">
        <v>0.23499999999999999</v>
      </c>
      <c r="AC81" s="24">
        <v>0.218</v>
      </c>
      <c r="AD81" s="24">
        <v>0.187</v>
      </c>
      <c r="AE81" s="24">
        <v>0.192</v>
      </c>
      <c r="AF81" s="24">
        <v>0.157</v>
      </c>
      <c r="AG81" s="24">
        <v>0.155</v>
      </c>
      <c r="AH81" s="24">
        <v>0.14199999999999999</v>
      </c>
      <c r="AI81" s="24">
        <v>0.13900000000000001</v>
      </c>
      <c r="AJ81" s="24">
        <v>0.126</v>
      </c>
      <c r="AK81" s="24">
        <v>0.14299999999999999</v>
      </c>
      <c r="AL81" s="24">
        <v>0.21299999999999999</v>
      </c>
      <c r="AM81" s="24">
        <v>0.20899999999999999</v>
      </c>
      <c r="AN81" s="40">
        <v>0.161</v>
      </c>
      <c r="AO81" s="40">
        <v>0.13200000000000001</v>
      </c>
      <c r="AP81" s="40" t="s">
        <v>38</v>
      </c>
      <c r="AQ81" s="40">
        <v>0.17150000000000001</v>
      </c>
      <c r="AR81" s="40">
        <v>0.157</v>
      </c>
      <c r="AS81" s="40">
        <v>0.16500000000000001</v>
      </c>
      <c r="AT81" s="40">
        <v>0.14699999999999999</v>
      </c>
      <c r="AU81" s="40">
        <v>0.14499999999999999</v>
      </c>
      <c r="AV81" s="40">
        <v>0.13400000000000001</v>
      </c>
      <c r="AW81" s="40">
        <v>0.128</v>
      </c>
      <c r="AX81" s="40">
        <v>0.126</v>
      </c>
      <c r="AY81" s="40">
        <v>0.20799999999999999</v>
      </c>
      <c r="AZ81" s="40">
        <v>0.2</v>
      </c>
      <c r="BA81" s="40" t="s">
        <v>38</v>
      </c>
      <c r="BB81" s="49">
        <v>0.11600000000000001</v>
      </c>
      <c r="BC81" s="40">
        <v>0.1525</v>
      </c>
      <c r="BD81" s="50">
        <v>0.185</v>
      </c>
      <c r="BE81" s="58" t="s">
        <v>38</v>
      </c>
      <c r="BF81" s="50">
        <v>0.13</v>
      </c>
      <c r="BG81" s="40">
        <v>0.17399999999999999</v>
      </c>
      <c r="BH81" s="38">
        <v>0.14799999999999999</v>
      </c>
      <c r="BI81" s="38">
        <v>0.18149999999999999</v>
      </c>
      <c r="BJ81" s="38">
        <v>0.1585</v>
      </c>
      <c r="BK81" s="38">
        <v>0.1825</v>
      </c>
      <c r="BL81" s="38">
        <v>0.154</v>
      </c>
      <c r="BM81" s="38">
        <v>0.185</v>
      </c>
      <c r="BN81" s="39" t="s">
        <v>38</v>
      </c>
      <c r="BO81" s="40">
        <v>0.17499999999999999</v>
      </c>
      <c r="BP81" s="38">
        <v>0.18149999999999999</v>
      </c>
      <c r="BQ81" s="38">
        <v>0.15200000000000002</v>
      </c>
      <c r="BR81" s="41">
        <v>0.17899999999999999</v>
      </c>
      <c r="BS81" s="41">
        <v>0.152</v>
      </c>
      <c r="BT81" s="41">
        <v>0.14900000000000002</v>
      </c>
      <c r="BU81" s="42">
        <v>0.13750000000000001</v>
      </c>
      <c r="BV81" s="41">
        <v>0.13</v>
      </c>
      <c r="BW81" s="42" t="s">
        <v>38</v>
      </c>
      <c r="BX81" s="42" t="s">
        <v>38</v>
      </c>
      <c r="BY81" s="85">
        <f>(0.278+0.273)/2</f>
        <v>0.27550000000000002</v>
      </c>
      <c r="BZ81" s="85">
        <f>(0.339+0.291)/2</f>
        <v>0.315</v>
      </c>
      <c r="CA81" s="87">
        <v>0.247</v>
      </c>
    </row>
    <row r="82" spans="1:79">
      <c r="A82" s="21" t="s">
        <v>26</v>
      </c>
      <c r="B82" s="82">
        <v>254490.50914000001</v>
      </c>
      <c r="C82" s="82">
        <v>4505628.04213</v>
      </c>
      <c r="D82" s="19" t="s">
        <v>38</v>
      </c>
      <c r="E82" s="19" t="s">
        <v>38</v>
      </c>
      <c r="F82" s="19" t="s">
        <v>38</v>
      </c>
      <c r="G82" s="19" t="s">
        <v>38</v>
      </c>
      <c r="H82" s="19" t="s">
        <v>38</v>
      </c>
      <c r="I82" s="19" t="s">
        <v>38</v>
      </c>
      <c r="J82" s="19" t="s">
        <v>38</v>
      </c>
      <c r="K82" s="19" t="s">
        <v>38</v>
      </c>
      <c r="L82" s="19" t="s">
        <v>38</v>
      </c>
      <c r="M82" s="19" t="s">
        <v>38</v>
      </c>
      <c r="N82" s="23" t="s">
        <v>38</v>
      </c>
      <c r="O82" s="23" t="s">
        <v>38</v>
      </c>
      <c r="P82" s="23" t="s">
        <v>38</v>
      </c>
      <c r="Q82" s="23" t="s">
        <v>38</v>
      </c>
      <c r="R82" s="23" t="s">
        <v>38</v>
      </c>
      <c r="S82" s="23" t="s">
        <v>38</v>
      </c>
      <c r="T82" s="24">
        <v>0.24</v>
      </c>
      <c r="U82" s="24" t="s">
        <v>38</v>
      </c>
      <c r="V82" s="23" t="s">
        <v>38</v>
      </c>
      <c r="W82" s="23" t="s">
        <v>38</v>
      </c>
      <c r="X82" s="23" t="s">
        <v>38</v>
      </c>
      <c r="Y82" s="23" t="s">
        <v>38</v>
      </c>
      <c r="Z82" s="23" t="s">
        <v>38</v>
      </c>
      <c r="AA82" s="23" t="s">
        <v>38</v>
      </c>
      <c r="AB82" s="23" t="s">
        <v>38</v>
      </c>
      <c r="AC82" s="23" t="s">
        <v>38</v>
      </c>
      <c r="AD82" s="23" t="s">
        <v>38</v>
      </c>
      <c r="AE82" s="23" t="s">
        <v>38</v>
      </c>
      <c r="AF82" s="23" t="s">
        <v>38</v>
      </c>
      <c r="AG82" s="23" t="s">
        <v>38</v>
      </c>
      <c r="AH82" s="23" t="s">
        <v>38</v>
      </c>
      <c r="AI82" s="23" t="s">
        <v>38</v>
      </c>
      <c r="AJ82" s="23" t="s">
        <v>38</v>
      </c>
      <c r="AK82" s="23" t="s">
        <v>38</v>
      </c>
      <c r="AL82" s="23" t="s">
        <v>38</v>
      </c>
      <c r="AM82" s="23" t="s">
        <v>38</v>
      </c>
      <c r="AN82" s="23" t="s">
        <v>38</v>
      </c>
      <c r="AO82" s="23" t="s">
        <v>38</v>
      </c>
      <c r="AP82" s="23" t="s">
        <v>38</v>
      </c>
      <c r="AQ82" s="23" t="s">
        <v>38</v>
      </c>
      <c r="AR82" s="23" t="s">
        <v>38</v>
      </c>
      <c r="AS82" s="23" t="s">
        <v>38</v>
      </c>
      <c r="AT82" s="23" t="s">
        <v>38</v>
      </c>
      <c r="AU82" s="23" t="s">
        <v>38</v>
      </c>
      <c r="AV82" s="23" t="s">
        <v>38</v>
      </c>
      <c r="AW82" s="23" t="s">
        <v>38</v>
      </c>
      <c r="AX82" s="23" t="s">
        <v>38</v>
      </c>
      <c r="AY82" s="23" t="s">
        <v>38</v>
      </c>
      <c r="AZ82" s="23" t="s">
        <v>38</v>
      </c>
      <c r="BA82" s="40">
        <v>0.221</v>
      </c>
      <c r="BB82" s="49" t="s">
        <v>38</v>
      </c>
      <c r="BC82" s="49" t="s">
        <v>38</v>
      </c>
      <c r="BD82" s="49" t="s">
        <v>38</v>
      </c>
      <c r="BE82" s="49" t="s">
        <v>38</v>
      </c>
      <c r="BF82" s="49" t="s">
        <v>38</v>
      </c>
      <c r="BG82" s="49" t="s">
        <v>38</v>
      </c>
      <c r="BH82" s="49" t="s">
        <v>38</v>
      </c>
      <c r="BI82" s="49" t="s">
        <v>38</v>
      </c>
      <c r="BJ82" s="49" t="s">
        <v>38</v>
      </c>
      <c r="BK82" s="49" t="s">
        <v>38</v>
      </c>
      <c r="BL82" s="49" t="s">
        <v>38</v>
      </c>
      <c r="BM82" s="49" t="s">
        <v>38</v>
      </c>
      <c r="BN82" s="49" t="s">
        <v>38</v>
      </c>
      <c r="BO82" s="49" t="s">
        <v>38</v>
      </c>
      <c r="BP82" s="49" t="s">
        <v>38</v>
      </c>
      <c r="BQ82" s="49" t="s">
        <v>38</v>
      </c>
      <c r="BR82" s="49" t="s">
        <v>38</v>
      </c>
      <c r="BS82" s="49" t="s">
        <v>38</v>
      </c>
      <c r="BT82" s="49" t="s">
        <v>38</v>
      </c>
      <c r="BU82" s="49" t="s">
        <v>38</v>
      </c>
      <c r="BV82" s="49" t="s">
        <v>38</v>
      </c>
      <c r="BW82" s="49" t="s">
        <v>38</v>
      </c>
      <c r="BX82" s="49" t="s">
        <v>38</v>
      </c>
      <c r="BY82" s="85" t="s">
        <v>38</v>
      </c>
      <c r="BZ82" s="84" t="s">
        <v>38</v>
      </c>
      <c r="CA82" s="86" t="s">
        <v>38</v>
      </c>
    </row>
    <row r="83" spans="1:79">
      <c r="A83" s="21" t="s">
        <v>27</v>
      </c>
      <c r="B83" s="82">
        <v>254490.34821900001</v>
      </c>
      <c r="C83" s="82">
        <v>4505626.1343099996</v>
      </c>
      <c r="D83" s="19">
        <v>0.20350000000000001</v>
      </c>
      <c r="E83" s="20">
        <v>0.23599999999999999</v>
      </c>
      <c r="F83" s="20">
        <v>0.251</v>
      </c>
      <c r="G83" s="20">
        <v>0.23849999999999999</v>
      </c>
      <c r="H83" s="19" t="s">
        <v>38</v>
      </c>
      <c r="I83" s="20">
        <v>0.1905</v>
      </c>
      <c r="J83" s="20">
        <v>0.16450000000000001</v>
      </c>
      <c r="K83" s="20">
        <v>9.7500000000000003E-2</v>
      </c>
      <c r="L83" s="20" t="s">
        <v>38</v>
      </c>
      <c r="M83" s="20">
        <v>0.11399999999999999</v>
      </c>
      <c r="N83" s="16">
        <v>0.17149999999999999</v>
      </c>
      <c r="O83" s="16">
        <v>0.11</v>
      </c>
      <c r="P83" s="23" t="s">
        <v>38</v>
      </c>
      <c r="Q83" s="16">
        <v>0.2145</v>
      </c>
      <c r="R83" s="23" t="s">
        <v>38</v>
      </c>
      <c r="S83" s="16">
        <v>0.20200000000000001</v>
      </c>
      <c r="T83" s="24">
        <v>0.24</v>
      </c>
      <c r="U83" s="24">
        <v>0.253</v>
      </c>
      <c r="V83" s="23" t="s">
        <v>38</v>
      </c>
      <c r="W83" s="23">
        <v>0.27700000000000002</v>
      </c>
      <c r="X83" s="23">
        <v>0.23499999999999999</v>
      </c>
      <c r="Y83" s="24" t="s">
        <v>38</v>
      </c>
      <c r="Z83" s="23">
        <v>0.24399999999999999</v>
      </c>
      <c r="AA83" s="24">
        <v>0.25700000000000001</v>
      </c>
      <c r="AB83" s="23" t="s">
        <v>38</v>
      </c>
      <c r="AC83" s="24">
        <v>0.23599999999999999</v>
      </c>
      <c r="AD83" s="24">
        <v>0.24099999999999999</v>
      </c>
      <c r="AE83" s="23" t="s">
        <v>38</v>
      </c>
      <c r="AF83" s="24">
        <v>0.19</v>
      </c>
      <c r="AG83" s="24">
        <v>0.17</v>
      </c>
      <c r="AH83" s="24">
        <v>0.151</v>
      </c>
      <c r="AI83" s="23" t="s">
        <v>38</v>
      </c>
      <c r="AJ83" s="23" t="s">
        <v>38</v>
      </c>
      <c r="AK83" s="23" t="s">
        <v>38</v>
      </c>
      <c r="AL83" s="23" t="s">
        <v>38</v>
      </c>
      <c r="AM83" s="24">
        <v>0.31</v>
      </c>
      <c r="AN83" s="40">
        <v>0.20499999999999999</v>
      </c>
      <c r="AO83" s="40" t="s">
        <v>38</v>
      </c>
      <c r="AP83" s="40" t="s">
        <v>38</v>
      </c>
      <c r="AQ83" s="40">
        <v>0.17199999999999999</v>
      </c>
      <c r="AR83" s="40" t="s">
        <v>38</v>
      </c>
      <c r="AS83" s="40">
        <v>0.16700000000000001</v>
      </c>
      <c r="AT83" s="40" t="s">
        <v>38</v>
      </c>
      <c r="AU83" s="40">
        <v>0.159</v>
      </c>
      <c r="AV83" s="23" t="s">
        <v>38</v>
      </c>
      <c r="AW83" s="23" t="s">
        <v>38</v>
      </c>
      <c r="AX83" s="23" t="s">
        <v>38</v>
      </c>
      <c r="AY83" s="23" t="s">
        <v>38</v>
      </c>
      <c r="AZ83" s="23" t="s">
        <v>38</v>
      </c>
      <c r="BA83" s="40" t="s">
        <v>38</v>
      </c>
      <c r="BB83" s="49">
        <v>0.1595</v>
      </c>
      <c r="BC83" s="40" t="s">
        <v>38</v>
      </c>
      <c r="BD83" s="50">
        <v>0.23349999999999999</v>
      </c>
      <c r="BE83" s="58" t="s">
        <v>38</v>
      </c>
      <c r="BF83" s="58">
        <v>0.161</v>
      </c>
      <c r="BG83" s="40">
        <v>0.2535</v>
      </c>
      <c r="BH83" s="49" t="s">
        <v>38</v>
      </c>
      <c r="BI83" s="49" t="s">
        <v>38</v>
      </c>
      <c r="BJ83" s="49" t="s">
        <v>38</v>
      </c>
      <c r="BK83" s="38">
        <v>0.22800000000000001</v>
      </c>
      <c r="BL83" s="49" t="s">
        <v>38</v>
      </c>
      <c r="BM83" s="49" t="s">
        <v>38</v>
      </c>
      <c r="BN83" s="49" t="s">
        <v>38</v>
      </c>
      <c r="BO83" s="49" t="s">
        <v>38</v>
      </c>
      <c r="BP83" s="49" t="s">
        <v>38</v>
      </c>
      <c r="BQ83" s="38">
        <v>0.1835</v>
      </c>
      <c r="BR83" s="41">
        <v>0.21049999999999999</v>
      </c>
      <c r="BS83" s="49" t="s">
        <v>38</v>
      </c>
      <c r="BT83" s="49" t="s">
        <v>38</v>
      </c>
      <c r="BU83" s="49" t="s">
        <v>38</v>
      </c>
      <c r="BV83" s="49" t="s">
        <v>38</v>
      </c>
      <c r="BW83" s="49" t="s">
        <v>38</v>
      </c>
      <c r="BX83" s="49" t="s">
        <v>38</v>
      </c>
      <c r="BY83" s="85">
        <f>(0.283+0.261)/2</f>
        <v>0.27200000000000002</v>
      </c>
      <c r="BZ83" s="85">
        <f>(0.317+0.349)/2</f>
        <v>0.33299999999999996</v>
      </c>
      <c r="CA83" s="87">
        <v>0.25750000000000001</v>
      </c>
    </row>
    <row r="84" spans="1:79">
      <c r="A84" s="21" t="s">
        <v>28</v>
      </c>
      <c r="B84" s="82">
        <v>254488.395021</v>
      </c>
      <c r="C84" s="82">
        <v>4505626.3354900004</v>
      </c>
      <c r="D84" s="19" t="s">
        <v>38</v>
      </c>
      <c r="E84" s="20">
        <v>0.224</v>
      </c>
      <c r="F84" s="20" t="s">
        <v>38</v>
      </c>
      <c r="G84" s="20">
        <v>0.2475</v>
      </c>
      <c r="H84" s="20" t="s">
        <v>38</v>
      </c>
      <c r="I84" s="20">
        <v>0.19850000000000001</v>
      </c>
      <c r="J84" s="20" t="s">
        <v>38</v>
      </c>
      <c r="K84" s="20">
        <v>0.1275</v>
      </c>
      <c r="L84" s="20">
        <v>0.16550000000000001</v>
      </c>
      <c r="M84" s="19">
        <v>0.1095</v>
      </c>
      <c r="N84" s="23" t="s">
        <v>38</v>
      </c>
      <c r="O84" s="23" t="s">
        <v>38</v>
      </c>
      <c r="P84" s="23" t="s">
        <v>38</v>
      </c>
      <c r="Q84" s="23" t="s">
        <v>38</v>
      </c>
      <c r="R84" s="23" t="s">
        <v>38</v>
      </c>
      <c r="S84" s="23" t="s">
        <v>38</v>
      </c>
      <c r="T84" s="24">
        <v>0.24199999999999999</v>
      </c>
      <c r="U84" s="24" t="s">
        <v>38</v>
      </c>
      <c r="V84" s="23" t="s">
        <v>38</v>
      </c>
      <c r="W84" s="23" t="s">
        <v>38</v>
      </c>
      <c r="X84" s="23" t="s">
        <v>38</v>
      </c>
      <c r="Y84" s="23" t="s">
        <v>38</v>
      </c>
      <c r="Z84" s="23" t="s">
        <v>38</v>
      </c>
      <c r="AA84" s="23" t="s">
        <v>38</v>
      </c>
      <c r="AB84" s="23" t="s">
        <v>38</v>
      </c>
      <c r="AC84" s="23" t="s">
        <v>38</v>
      </c>
      <c r="AD84" s="23" t="s">
        <v>38</v>
      </c>
      <c r="AE84" s="23" t="s">
        <v>38</v>
      </c>
      <c r="AF84" s="23" t="s">
        <v>38</v>
      </c>
      <c r="AG84" s="23" t="s">
        <v>38</v>
      </c>
      <c r="AH84" s="23" t="s">
        <v>38</v>
      </c>
      <c r="AI84" s="23" t="s">
        <v>38</v>
      </c>
      <c r="AJ84" s="23" t="s">
        <v>38</v>
      </c>
      <c r="AK84" s="23" t="s">
        <v>38</v>
      </c>
      <c r="AL84" s="23" t="s">
        <v>38</v>
      </c>
      <c r="AM84" s="23" t="s">
        <v>38</v>
      </c>
      <c r="AN84" s="23" t="s">
        <v>38</v>
      </c>
      <c r="AO84" s="23" t="s">
        <v>38</v>
      </c>
      <c r="AP84" s="23" t="s">
        <v>38</v>
      </c>
      <c r="AQ84" s="23" t="s">
        <v>38</v>
      </c>
      <c r="AR84" s="23" t="s">
        <v>38</v>
      </c>
      <c r="AS84" s="23" t="s">
        <v>38</v>
      </c>
      <c r="AT84" s="23" t="s">
        <v>38</v>
      </c>
      <c r="AU84" s="23" t="s">
        <v>38</v>
      </c>
      <c r="AV84" s="23" t="s">
        <v>38</v>
      </c>
      <c r="AW84" s="23" t="s">
        <v>38</v>
      </c>
      <c r="AX84" s="23" t="s">
        <v>38</v>
      </c>
      <c r="AY84" s="40">
        <v>0.28199999999999997</v>
      </c>
      <c r="AZ84" s="40">
        <v>0.248</v>
      </c>
      <c r="BA84" s="40" t="s">
        <v>38</v>
      </c>
      <c r="BB84" s="49" t="s">
        <v>38</v>
      </c>
      <c r="BC84" s="49" t="s">
        <v>38</v>
      </c>
      <c r="BD84" s="49" t="s">
        <v>38</v>
      </c>
      <c r="BE84" s="49" t="s">
        <v>38</v>
      </c>
      <c r="BF84" s="49" t="s">
        <v>38</v>
      </c>
      <c r="BG84" s="49" t="s">
        <v>38</v>
      </c>
      <c r="BH84" s="49" t="s">
        <v>38</v>
      </c>
      <c r="BI84" s="49" t="s">
        <v>38</v>
      </c>
      <c r="BJ84" s="49" t="s">
        <v>38</v>
      </c>
      <c r="BK84" s="49" t="s">
        <v>38</v>
      </c>
      <c r="BL84" s="49" t="s">
        <v>38</v>
      </c>
      <c r="BM84" s="49" t="s">
        <v>38</v>
      </c>
      <c r="BN84" s="49" t="s">
        <v>38</v>
      </c>
      <c r="BO84" s="49" t="s">
        <v>38</v>
      </c>
      <c r="BP84" s="49" t="s">
        <v>38</v>
      </c>
      <c r="BQ84" s="49" t="s">
        <v>38</v>
      </c>
      <c r="BR84" s="49" t="s">
        <v>38</v>
      </c>
      <c r="BS84" s="49" t="s">
        <v>38</v>
      </c>
      <c r="BT84" s="49" t="s">
        <v>38</v>
      </c>
      <c r="BU84" s="49" t="s">
        <v>38</v>
      </c>
      <c r="BV84" s="49" t="s">
        <v>38</v>
      </c>
      <c r="BW84" s="49" t="s">
        <v>38</v>
      </c>
      <c r="BX84" s="49" t="s">
        <v>38</v>
      </c>
      <c r="BY84" s="85">
        <f>(0.266+0.231)/2</f>
        <v>0.2485</v>
      </c>
      <c r="BZ84" s="85">
        <f>(0.326+0.35)/2</f>
        <v>0.33799999999999997</v>
      </c>
      <c r="CA84" s="87">
        <v>0.246</v>
      </c>
    </row>
    <row r="85" spans="1:79">
      <c r="A85" s="21" t="s">
        <v>29</v>
      </c>
      <c r="B85" s="82">
        <v>254488.63037900001</v>
      </c>
      <c r="C85" s="82">
        <v>4505628.1816299995</v>
      </c>
      <c r="D85" s="19" t="s">
        <v>38</v>
      </c>
      <c r="E85" s="19" t="s">
        <v>38</v>
      </c>
      <c r="F85" s="20">
        <v>0.24149999999999999</v>
      </c>
      <c r="G85" s="20">
        <v>0.23399999999999999</v>
      </c>
      <c r="H85" s="19" t="s">
        <v>38</v>
      </c>
      <c r="I85" s="20">
        <v>0.1885</v>
      </c>
      <c r="J85" s="20" t="s">
        <v>38</v>
      </c>
      <c r="K85" s="20">
        <v>0.11649999999999999</v>
      </c>
      <c r="L85" s="20">
        <v>0.16849999999999998</v>
      </c>
      <c r="M85" s="19">
        <v>0.10150000000000001</v>
      </c>
      <c r="N85" s="23" t="s">
        <v>38</v>
      </c>
      <c r="O85" s="23" t="s">
        <v>38</v>
      </c>
      <c r="P85" s="23" t="s">
        <v>38</v>
      </c>
      <c r="Q85" s="23" t="s">
        <v>38</v>
      </c>
      <c r="R85" s="23" t="s">
        <v>38</v>
      </c>
      <c r="S85" s="23" t="s">
        <v>38</v>
      </c>
      <c r="T85" s="24">
        <v>0.28000000000000003</v>
      </c>
      <c r="U85" s="24" t="s">
        <v>38</v>
      </c>
      <c r="V85" s="23" t="s">
        <v>38</v>
      </c>
      <c r="W85" s="23" t="s">
        <v>38</v>
      </c>
      <c r="X85" s="23" t="s">
        <v>38</v>
      </c>
      <c r="Y85" s="23" t="s">
        <v>38</v>
      </c>
      <c r="Z85" s="23" t="s">
        <v>38</v>
      </c>
      <c r="AA85" s="23" t="s">
        <v>38</v>
      </c>
      <c r="AB85" s="23" t="s">
        <v>38</v>
      </c>
      <c r="AC85" s="23" t="s">
        <v>38</v>
      </c>
      <c r="AD85" s="23" t="s">
        <v>38</v>
      </c>
      <c r="AE85" s="23" t="s">
        <v>38</v>
      </c>
      <c r="AF85" s="23" t="s">
        <v>38</v>
      </c>
      <c r="AG85" s="23" t="s">
        <v>38</v>
      </c>
      <c r="AH85" s="23" t="s">
        <v>38</v>
      </c>
      <c r="AI85" s="23" t="s">
        <v>38</v>
      </c>
      <c r="AJ85" s="23" t="s">
        <v>38</v>
      </c>
      <c r="AK85" s="23" t="s">
        <v>38</v>
      </c>
      <c r="AL85" s="23" t="s">
        <v>38</v>
      </c>
      <c r="AM85" s="23" t="s">
        <v>38</v>
      </c>
      <c r="AN85" s="23" t="s">
        <v>38</v>
      </c>
      <c r="AO85" s="23" t="s">
        <v>38</v>
      </c>
      <c r="AP85" s="23" t="s">
        <v>38</v>
      </c>
      <c r="AQ85" s="23" t="s">
        <v>38</v>
      </c>
      <c r="AR85" s="23" t="s">
        <v>38</v>
      </c>
      <c r="AS85" s="23" t="s">
        <v>38</v>
      </c>
      <c r="AT85" s="23" t="s">
        <v>38</v>
      </c>
      <c r="AU85" s="23" t="s">
        <v>38</v>
      </c>
      <c r="AV85" s="23" t="s">
        <v>38</v>
      </c>
      <c r="AW85" s="23" t="s">
        <v>38</v>
      </c>
      <c r="AX85" s="23" t="s">
        <v>38</v>
      </c>
      <c r="AY85" s="40">
        <v>0.28899999999999998</v>
      </c>
      <c r="AZ85" s="40">
        <v>0.23300000000000001</v>
      </c>
      <c r="BA85" s="40">
        <v>0.255</v>
      </c>
      <c r="BB85" s="49" t="s">
        <v>38</v>
      </c>
      <c r="BC85" s="49" t="s">
        <v>38</v>
      </c>
      <c r="BD85" s="49" t="s">
        <v>38</v>
      </c>
      <c r="BE85" s="49" t="s">
        <v>38</v>
      </c>
      <c r="BF85" s="49" t="s">
        <v>38</v>
      </c>
      <c r="BG85" s="49" t="s">
        <v>38</v>
      </c>
      <c r="BH85" s="49" t="s">
        <v>38</v>
      </c>
      <c r="BI85" s="49" t="s">
        <v>38</v>
      </c>
      <c r="BJ85" s="49" t="s">
        <v>38</v>
      </c>
      <c r="BK85" s="49" t="s">
        <v>38</v>
      </c>
      <c r="BL85" s="49" t="s">
        <v>38</v>
      </c>
      <c r="BM85" s="49" t="s">
        <v>38</v>
      </c>
      <c r="BN85" s="49" t="s">
        <v>38</v>
      </c>
      <c r="BO85" s="49" t="s">
        <v>38</v>
      </c>
      <c r="BP85" s="49" t="s">
        <v>38</v>
      </c>
      <c r="BQ85" s="49" t="s">
        <v>38</v>
      </c>
      <c r="BR85" s="49" t="s">
        <v>38</v>
      </c>
      <c r="BS85" s="49" t="s">
        <v>38</v>
      </c>
      <c r="BT85" s="49" t="s">
        <v>38</v>
      </c>
      <c r="BU85" s="49" t="s">
        <v>38</v>
      </c>
      <c r="BV85" s="49" t="s">
        <v>38</v>
      </c>
      <c r="BW85" s="49" t="s">
        <v>38</v>
      </c>
      <c r="BX85" s="49" t="s">
        <v>38</v>
      </c>
      <c r="BY85" s="85">
        <f>(0.255+0.267)/2</f>
        <v>0.26100000000000001</v>
      </c>
      <c r="BZ85" s="85">
        <f>(0.353+0.34)/2</f>
        <v>0.34650000000000003</v>
      </c>
      <c r="CA85" s="87">
        <v>0.2515</v>
      </c>
    </row>
    <row r="86" spans="1:79">
      <c r="A86" s="21">
        <v>61</v>
      </c>
      <c r="B86" s="82">
        <v>254539.52779299999</v>
      </c>
      <c r="C86" s="82">
        <v>4505618.9177599996</v>
      </c>
      <c r="D86" s="19" t="s">
        <v>38</v>
      </c>
      <c r="E86" s="20">
        <v>0.3105</v>
      </c>
      <c r="F86" s="20">
        <v>0.30199999999999999</v>
      </c>
      <c r="G86" s="20">
        <v>0.32550000000000001</v>
      </c>
      <c r="H86" s="20">
        <v>0.32050000000000001</v>
      </c>
      <c r="I86" s="20">
        <v>0.27300000000000002</v>
      </c>
      <c r="J86" s="20">
        <v>0.23599999999999999</v>
      </c>
      <c r="K86" s="20">
        <v>0.1895</v>
      </c>
      <c r="L86" s="20">
        <v>0.24049999999999999</v>
      </c>
      <c r="M86" s="20" t="s">
        <v>38</v>
      </c>
      <c r="N86" s="23" t="s">
        <v>38</v>
      </c>
      <c r="O86" s="16">
        <v>0.182</v>
      </c>
      <c r="P86" s="23" t="s">
        <v>38</v>
      </c>
      <c r="Q86" s="23" t="s">
        <v>38</v>
      </c>
      <c r="R86" s="16">
        <v>0.26150000000000001</v>
      </c>
      <c r="S86" s="23" t="s">
        <v>38</v>
      </c>
      <c r="T86" s="23">
        <v>0.32600000000000001</v>
      </c>
      <c r="U86" s="23">
        <v>0.318</v>
      </c>
      <c r="V86" s="23">
        <v>0.316</v>
      </c>
      <c r="W86" s="23">
        <v>0.33700000000000002</v>
      </c>
      <c r="X86" s="23">
        <v>0.314</v>
      </c>
      <c r="Y86" s="24">
        <v>0.27600000000000002</v>
      </c>
      <c r="Z86" s="24">
        <v>0.30599999999999999</v>
      </c>
      <c r="AA86" s="24">
        <v>0.30499999999999999</v>
      </c>
      <c r="AB86" s="24">
        <v>0.32400000000000001</v>
      </c>
      <c r="AC86" s="24">
        <v>0.313</v>
      </c>
      <c r="AD86" s="24">
        <v>0.307</v>
      </c>
      <c r="AE86" s="24">
        <v>0.28399999999999997</v>
      </c>
      <c r="AF86" s="24">
        <v>0.24199999999999999</v>
      </c>
      <c r="AG86" s="24">
        <v>0.221</v>
      </c>
      <c r="AH86" s="24">
        <v>0.193</v>
      </c>
      <c r="AI86" s="24">
        <v>0.20399999999999999</v>
      </c>
      <c r="AJ86" s="24">
        <v>0.20399999999999999</v>
      </c>
      <c r="AK86" s="24">
        <v>0.2</v>
      </c>
      <c r="AL86" s="24">
        <v>0.35599999999999998</v>
      </c>
      <c r="AM86" s="24">
        <v>0.30199999999999999</v>
      </c>
      <c r="AN86" s="40">
        <v>0.27600000000000002</v>
      </c>
      <c r="AO86" s="40">
        <v>0.21</v>
      </c>
      <c r="AP86" s="40">
        <v>0.246</v>
      </c>
      <c r="AQ86" s="40">
        <v>0.27750000000000002</v>
      </c>
      <c r="AR86" s="40">
        <v>0.26800000000000002</v>
      </c>
      <c r="AS86" s="40" t="s">
        <v>38</v>
      </c>
      <c r="AT86" s="40">
        <v>0.26500000000000001</v>
      </c>
      <c r="AU86" s="40">
        <v>0.23</v>
      </c>
      <c r="AV86" s="40">
        <v>0.22600000000000001</v>
      </c>
      <c r="AW86" s="40">
        <v>0.192</v>
      </c>
      <c r="AX86" s="40">
        <v>0.182</v>
      </c>
      <c r="AY86" s="40">
        <v>0.311</v>
      </c>
      <c r="AZ86" s="40">
        <v>0.247</v>
      </c>
      <c r="BA86" s="40">
        <v>0.26500000000000001</v>
      </c>
      <c r="BB86" s="49">
        <v>0.2155</v>
      </c>
      <c r="BC86" s="40">
        <v>0.23099999999999998</v>
      </c>
      <c r="BD86" s="50">
        <v>0.29649999999999999</v>
      </c>
      <c r="BE86" s="49" t="s">
        <v>38</v>
      </c>
      <c r="BF86" s="50">
        <v>0.23549999999999999</v>
      </c>
      <c r="BG86" s="40">
        <v>0.31950000000000001</v>
      </c>
      <c r="BH86" s="38">
        <v>0.27050000000000002</v>
      </c>
      <c r="BI86" s="38">
        <v>0.32250000000000001</v>
      </c>
      <c r="BJ86" s="38">
        <v>0.3175</v>
      </c>
      <c r="BK86" s="38">
        <v>0.29199999999999998</v>
      </c>
      <c r="BL86" s="38">
        <v>0.28899999999999998</v>
      </c>
      <c r="BM86" s="38">
        <v>0.308</v>
      </c>
      <c r="BN86" s="39" t="s">
        <v>38</v>
      </c>
      <c r="BO86" s="40">
        <v>0.28699999999999998</v>
      </c>
      <c r="BP86" s="38">
        <v>0.28700000000000003</v>
      </c>
      <c r="BQ86" s="38">
        <v>0.245</v>
      </c>
      <c r="BR86" s="41">
        <v>0.26700000000000002</v>
      </c>
      <c r="BS86" s="49" t="s">
        <v>38</v>
      </c>
      <c r="BT86" s="41">
        <v>0.218</v>
      </c>
      <c r="BU86" s="42">
        <v>0.222</v>
      </c>
      <c r="BV86" s="41">
        <v>0.218</v>
      </c>
      <c r="BW86" s="49" t="s">
        <v>38</v>
      </c>
      <c r="BX86" s="49" t="s">
        <v>38</v>
      </c>
      <c r="BY86" s="85">
        <v>0.35499999999999998</v>
      </c>
      <c r="BZ86" s="85">
        <f>(0.322+0.319)/2</f>
        <v>0.32050000000000001</v>
      </c>
      <c r="CA86" s="87">
        <v>0.4415</v>
      </c>
    </row>
    <row r="87" spans="1:79">
      <c r="A87" s="21" t="s">
        <v>30</v>
      </c>
      <c r="B87" s="82">
        <v>254540.82258800001</v>
      </c>
      <c r="C87" s="82">
        <v>4505618.2169500003</v>
      </c>
      <c r="D87" s="19" t="s">
        <v>38</v>
      </c>
      <c r="E87" s="20">
        <v>0.28499999999999998</v>
      </c>
      <c r="F87" s="20">
        <v>0.30399999999999999</v>
      </c>
      <c r="G87" s="20">
        <v>0.30099999999999999</v>
      </c>
      <c r="H87" s="20">
        <v>0.30549999999999999</v>
      </c>
      <c r="I87" s="20">
        <v>0.2535</v>
      </c>
      <c r="J87" s="20">
        <v>0.217</v>
      </c>
      <c r="K87" s="20">
        <v>0.17249999999999999</v>
      </c>
      <c r="L87" s="20">
        <v>0.18149999999999999</v>
      </c>
      <c r="M87" s="20">
        <v>0.157</v>
      </c>
      <c r="N87" s="16">
        <v>0.19650000000000001</v>
      </c>
      <c r="O87" s="16">
        <v>0.15150000000000002</v>
      </c>
      <c r="P87" s="23" t="s">
        <v>38</v>
      </c>
      <c r="Q87" s="16">
        <v>0.24199999999999999</v>
      </c>
      <c r="R87" s="23" t="s">
        <v>38</v>
      </c>
      <c r="S87" s="16">
        <v>0.25800000000000001</v>
      </c>
      <c r="T87" s="24">
        <v>0.35199999999999998</v>
      </c>
      <c r="U87" s="24">
        <v>0.32100000000000001</v>
      </c>
      <c r="V87" s="24">
        <v>0.36299999999999999</v>
      </c>
      <c r="W87" s="24">
        <v>0.40300000000000002</v>
      </c>
      <c r="X87" s="24">
        <v>0.33600000000000002</v>
      </c>
      <c r="Y87" s="24" t="s">
        <v>38</v>
      </c>
      <c r="Z87" s="23">
        <v>0.34499999999999997</v>
      </c>
      <c r="AA87" s="24">
        <v>0.33400000000000002</v>
      </c>
      <c r="AB87" s="24">
        <v>0.32400000000000001</v>
      </c>
      <c r="AC87" s="24">
        <v>0.33700000000000002</v>
      </c>
      <c r="AD87" s="24">
        <v>0.30499999999999999</v>
      </c>
      <c r="AE87" s="23" t="s">
        <v>38</v>
      </c>
      <c r="AF87" s="24">
        <v>0.23899999999999999</v>
      </c>
      <c r="AG87" s="24">
        <v>0.22600000000000001</v>
      </c>
      <c r="AH87" s="24">
        <v>0.20699999999999999</v>
      </c>
      <c r="AI87" s="23" t="s">
        <v>38</v>
      </c>
      <c r="AJ87" s="23" t="s">
        <v>38</v>
      </c>
      <c r="AK87" s="24">
        <v>0.19400000000000001</v>
      </c>
      <c r="AL87" s="23" t="s">
        <v>38</v>
      </c>
      <c r="AM87" s="24">
        <v>0.28000000000000003</v>
      </c>
      <c r="AN87" s="40">
        <v>0.29599999999999999</v>
      </c>
      <c r="AO87" s="40" t="s">
        <v>38</v>
      </c>
      <c r="AP87" s="40" t="s">
        <v>38</v>
      </c>
      <c r="AQ87" s="40">
        <v>0.27900000000000003</v>
      </c>
      <c r="AR87" s="40" t="s">
        <v>38</v>
      </c>
      <c r="AS87" s="40" t="s">
        <v>38</v>
      </c>
      <c r="AT87" s="40" t="s">
        <v>38</v>
      </c>
      <c r="AU87" s="40">
        <v>0.22800000000000001</v>
      </c>
      <c r="AV87" s="40" t="s">
        <v>38</v>
      </c>
      <c r="AW87" s="40" t="s">
        <v>38</v>
      </c>
      <c r="AX87" s="40" t="s">
        <v>38</v>
      </c>
      <c r="AY87" s="40">
        <v>0.20599999999999999</v>
      </c>
      <c r="AZ87" s="40">
        <v>0.19</v>
      </c>
      <c r="BA87" s="40">
        <v>0.29699999999999999</v>
      </c>
      <c r="BB87" s="49">
        <v>0.17899999999999999</v>
      </c>
      <c r="BC87" s="40">
        <v>0.224</v>
      </c>
      <c r="BD87" s="50">
        <v>0.24249999999999999</v>
      </c>
      <c r="BE87" s="49" t="s">
        <v>38</v>
      </c>
      <c r="BF87" s="50">
        <v>0.27850000000000003</v>
      </c>
      <c r="BG87" s="40">
        <v>0.28849999999999998</v>
      </c>
      <c r="BH87" s="38" t="s">
        <v>38</v>
      </c>
      <c r="BI87" s="38" t="s">
        <v>38</v>
      </c>
      <c r="BJ87" s="39" t="s">
        <v>38</v>
      </c>
      <c r="BK87" s="38">
        <v>0.29249999999999998</v>
      </c>
      <c r="BL87" s="38" t="s">
        <v>38</v>
      </c>
      <c r="BM87" s="38" t="s">
        <v>38</v>
      </c>
      <c r="BN87" s="39" t="s">
        <v>38</v>
      </c>
      <c r="BO87" s="40" t="s">
        <v>38</v>
      </c>
      <c r="BP87" s="38" t="s">
        <v>38</v>
      </c>
      <c r="BQ87" s="38">
        <v>0.21049999999999999</v>
      </c>
      <c r="BR87" s="41">
        <v>0.23649999999999999</v>
      </c>
      <c r="BS87" s="49" t="s">
        <v>38</v>
      </c>
      <c r="BT87" s="41">
        <v>0.223</v>
      </c>
      <c r="BU87" s="42">
        <v>0.23849999999999999</v>
      </c>
      <c r="BV87" s="41" t="s">
        <v>38</v>
      </c>
      <c r="BW87" s="42">
        <v>0.26650000000000001</v>
      </c>
      <c r="BX87" s="42" t="s">
        <v>38</v>
      </c>
      <c r="BY87" s="85">
        <f>(0.345+0.341)/2</f>
        <v>0.34299999999999997</v>
      </c>
      <c r="BZ87" s="85">
        <f>(0.312+0.306)/2</f>
        <v>0.309</v>
      </c>
      <c r="CA87" s="87">
        <v>0.42499999999999999</v>
      </c>
    </row>
    <row r="88" spans="1:79">
      <c r="A88" s="21" t="s">
        <v>31</v>
      </c>
      <c r="B88" s="82">
        <v>254538.99475700001</v>
      </c>
      <c r="C88" s="82">
        <v>4505617.5153299998</v>
      </c>
      <c r="D88" s="19" t="s">
        <v>38</v>
      </c>
      <c r="E88" s="20">
        <v>0.32400000000000001</v>
      </c>
      <c r="F88" s="20">
        <v>0.32650000000000001</v>
      </c>
      <c r="G88" s="20">
        <v>0.32700000000000001</v>
      </c>
      <c r="H88" s="20">
        <v>0.27949999999999997</v>
      </c>
      <c r="I88" s="20">
        <v>0.26350000000000001</v>
      </c>
      <c r="J88" s="20">
        <v>0.23399999999999999</v>
      </c>
      <c r="K88" s="20">
        <v>0.17649999999999999</v>
      </c>
      <c r="L88" s="20">
        <v>0.2535</v>
      </c>
      <c r="M88" s="20">
        <v>0.16200000000000001</v>
      </c>
      <c r="N88" s="16">
        <v>0.19400000000000001</v>
      </c>
      <c r="O88" s="16">
        <v>0.17049999999999998</v>
      </c>
      <c r="P88" s="23" t="s">
        <v>38</v>
      </c>
      <c r="Q88" s="16">
        <v>0.26250000000000001</v>
      </c>
      <c r="R88" s="23" t="s">
        <v>38</v>
      </c>
      <c r="S88" s="23" t="s">
        <v>38</v>
      </c>
      <c r="T88" s="24">
        <v>0.35399999999999998</v>
      </c>
      <c r="U88" s="24">
        <v>0.38400000000000001</v>
      </c>
      <c r="V88" s="24">
        <v>0.35099999999999998</v>
      </c>
      <c r="W88" s="24">
        <v>0.39</v>
      </c>
      <c r="X88" s="24">
        <v>0.35699999999999998</v>
      </c>
      <c r="Y88" s="24" t="s">
        <v>38</v>
      </c>
      <c r="Z88" s="23">
        <v>0.36199999999999999</v>
      </c>
      <c r="AA88" s="24">
        <v>0.36499999999999999</v>
      </c>
      <c r="AB88" s="24">
        <v>0.378</v>
      </c>
      <c r="AC88" s="24">
        <v>0.36399999999999999</v>
      </c>
      <c r="AD88" s="24">
        <v>0.35899999999999999</v>
      </c>
      <c r="AE88" s="23" t="s">
        <v>38</v>
      </c>
      <c r="AF88" s="24">
        <v>0.247</v>
      </c>
      <c r="AG88" s="24">
        <v>0.23</v>
      </c>
      <c r="AH88" s="24">
        <v>0.20599999999999999</v>
      </c>
      <c r="AI88" s="23" t="s">
        <v>38</v>
      </c>
      <c r="AJ88" s="23" t="s">
        <v>38</v>
      </c>
      <c r="AK88" s="24">
        <v>0.17599999999999999</v>
      </c>
      <c r="AL88" s="23" t="s">
        <v>38</v>
      </c>
      <c r="AM88" s="24">
        <v>0.39800000000000002</v>
      </c>
      <c r="AN88" s="40">
        <v>0.32800000000000001</v>
      </c>
      <c r="AO88" s="40" t="s">
        <v>38</v>
      </c>
      <c r="AP88" s="40" t="s">
        <v>38</v>
      </c>
      <c r="AQ88" s="40">
        <v>0.29949999999999999</v>
      </c>
      <c r="AR88" s="40" t="s">
        <v>38</v>
      </c>
      <c r="AS88" s="40" t="s">
        <v>38</v>
      </c>
      <c r="AT88" s="40" t="s">
        <v>38</v>
      </c>
      <c r="AU88" s="40">
        <v>0.217</v>
      </c>
      <c r="AV88" s="40" t="s">
        <v>38</v>
      </c>
      <c r="AW88" s="40" t="s">
        <v>38</v>
      </c>
      <c r="AX88" s="40" t="s">
        <v>38</v>
      </c>
      <c r="AY88" s="40">
        <v>0.186</v>
      </c>
      <c r="AZ88" s="40">
        <v>0.192</v>
      </c>
      <c r="BA88" s="40">
        <v>0.222</v>
      </c>
      <c r="BB88" s="49">
        <v>0.20849999999999999</v>
      </c>
      <c r="BC88" s="40">
        <v>0.28799999999999998</v>
      </c>
      <c r="BD88" s="50">
        <v>0.31900000000000001</v>
      </c>
      <c r="BE88" s="49" t="s">
        <v>38</v>
      </c>
      <c r="BF88" s="50">
        <v>0.30099999999999999</v>
      </c>
      <c r="BG88" s="40">
        <v>0.34699999999999998</v>
      </c>
      <c r="BH88" s="38" t="s">
        <v>38</v>
      </c>
      <c r="BI88" s="38" t="s">
        <v>38</v>
      </c>
      <c r="BJ88" s="39" t="s">
        <v>38</v>
      </c>
      <c r="BK88" s="38">
        <v>0.30499999999999999</v>
      </c>
      <c r="BL88" s="38" t="s">
        <v>38</v>
      </c>
      <c r="BM88" s="38" t="s">
        <v>38</v>
      </c>
      <c r="BN88" s="39" t="s">
        <v>38</v>
      </c>
      <c r="BO88" s="40" t="s">
        <v>38</v>
      </c>
      <c r="BP88" s="38" t="s">
        <v>38</v>
      </c>
      <c r="BQ88" s="38">
        <v>0.23549999999999999</v>
      </c>
      <c r="BR88" s="41">
        <v>0.26950000000000002</v>
      </c>
      <c r="BS88" s="49" t="s">
        <v>38</v>
      </c>
      <c r="BT88" s="41">
        <v>0.217</v>
      </c>
      <c r="BU88" s="42">
        <v>0.27400000000000002</v>
      </c>
      <c r="BV88" s="41" t="s">
        <v>38</v>
      </c>
      <c r="BW88" s="42" t="s">
        <v>38</v>
      </c>
      <c r="BX88" s="42" t="s">
        <v>38</v>
      </c>
      <c r="BY88" s="85">
        <f>(0.323+0.33)/2</f>
        <v>0.32650000000000001</v>
      </c>
      <c r="BZ88" s="85">
        <f>(0.316+0.314)/2</f>
        <v>0.315</v>
      </c>
      <c r="CA88" s="87">
        <v>0.45</v>
      </c>
    </row>
    <row r="89" spans="1:79">
      <c r="A89" s="21" t="s">
        <v>32</v>
      </c>
      <c r="B89" s="82">
        <v>254538.198217</v>
      </c>
      <c r="C89" s="82">
        <v>4505619.3421200002</v>
      </c>
      <c r="D89" s="19" t="s">
        <v>38</v>
      </c>
      <c r="E89" s="20">
        <v>0.26</v>
      </c>
      <c r="F89" s="20">
        <v>0.26450000000000001</v>
      </c>
      <c r="G89" s="20">
        <v>0.27050000000000002</v>
      </c>
      <c r="H89" s="20">
        <v>0.23749999999999999</v>
      </c>
      <c r="I89" s="20">
        <v>0.22949999999999998</v>
      </c>
      <c r="J89" s="20">
        <v>0.19</v>
      </c>
      <c r="K89" s="20">
        <v>0.14400000000000002</v>
      </c>
      <c r="L89" s="20">
        <v>0.23050000000000001</v>
      </c>
      <c r="M89" s="20" t="s">
        <v>38</v>
      </c>
      <c r="N89" s="16">
        <v>0.16400000000000001</v>
      </c>
      <c r="O89" s="16">
        <v>0.14000000000000001</v>
      </c>
      <c r="P89" s="23" t="s">
        <v>38</v>
      </c>
      <c r="Q89" s="16">
        <v>0.224</v>
      </c>
      <c r="R89" s="23" t="s">
        <v>38</v>
      </c>
      <c r="S89" s="23" t="s">
        <v>38</v>
      </c>
      <c r="T89" s="24">
        <v>0.32200000000000001</v>
      </c>
      <c r="U89" s="24">
        <v>0.33</v>
      </c>
      <c r="V89" s="24">
        <v>0.311</v>
      </c>
      <c r="W89" s="24">
        <v>0.38600000000000001</v>
      </c>
      <c r="X89" s="24">
        <v>0.308</v>
      </c>
      <c r="Y89" s="24" t="s">
        <v>38</v>
      </c>
      <c r="Z89" s="23">
        <v>0.311</v>
      </c>
      <c r="AA89" s="24">
        <v>0.33100000000000002</v>
      </c>
      <c r="AB89" s="24">
        <v>0.313</v>
      </c>
      <c r="AC89" s="24">
        <v>0.311</v>
      </c>
      <c r="AD89" s="24">
        <v>0.33900000000000002</v>
      </c>
      <c r="AE89" s="23" t="s">
        <v>38</v>
      </c>
      <c r="AF89" s="24">
        <v>0.20799999999999999</v>
      </c>
      <c r="AG89" s="24">
        <v>0.216</v>
      </c>
      <c r="AH89" s="24">
        <v>0.16400000000000001</v>
      </c>
      <c r="AI89" s="23" t="s">
        <v>38</v>
      </c>
      <c r="AJ89" s="23" t="s">
        <v>38</v>
      </c>
      <c r="AK89" s="24">
        <v>0.17399999999999999</v>
      </c>
      <c r="AL89" s="23" t="s">
        <v>38</v>
      </c>
      <c r="AM89" s="24">
        <v>0.36299999999999999</v>
      </c>
      <c r="AN89" s="40">
        <v>0.29199999999999998</v>
      </c>
      <c r="AO89" s="40" t="s">
        <v>38</v>
      </c>
      <c r="AP89" s="40" t="s">
        <v>38</v>
      </c>
      <c r="AQ89" s="40">
        <v>0.25950000000000001</v>
      </c>
      <c r="AR89" s="40" t="s">
        <v>38</v>
      </c>
      <c r="AS89" s="40" t="s">
        <v>38</v>
      </c>
      <c r="AT89" s="40" t="s">
        <v>38</v>
      </c>
      <c r="AU89" s="40">
        <v>0.17799999999999999</v>
      </c>
      <c r="AV89" s="40" t="s">
        <v>38</v>
      </c>
      <c r="AW89" s="40" t="s">
        <v>38</v>
      </c>
      <c r="AX89" s="40" t="s">
        <v>38</v>
      </c>
      <c r="AY89" s="40">
        <v>0.22500000000000001</v>
      </c>
      <c r="AZ89" s="40">
        <v>0.20799999999999999</v>
      </c>
      <c r="BA89" s="40">
        <v>0.20699999999999999</v>
      </c>
      <c r="BB89" s="49">
        <v>0.1535</v>
      </c>
      <c r="BC89" s="40">
        <v>0.18149999999999999</v>
      </c>
      <c r="BD89" s="50">
        <v>0.255</v>
      </c>
      <c r="BE89" s="49" t="s">
        <v>38</v>
      </c>
      <c r="BF89" s="50">
        <v>0.2445</v>
      </c>
      <c r="BG89" s="40">
        <v>0.27100000000000002</v>
      </c>
      <c r="BH89" s="38" t="s">
        <v>38</v>
      </c>
      <c r="BI89" s="38" t="s">
        <v>38</v>
      </c>
      <c r="BJ89" s="39" t="s">
        <v>38</v>
      </c>
      <c r="BK89" s="38">
        <v>0.23749999999999999</v>
      </c>
      <c r="BL89" s="38" t="s">
        <v>38</v>
      </c>
      <c r="BM89" s="38" t="s">
        <v>38</v>
      </c>
      <c r="BN89" s="39" t="s">
        <v>38</v>
      </c>
      <c r="BO89" s="40" t="s">
        <v>38</v>
      </c>
      <c r="BP89" s="38" t="s">
        <v>38</v>
      </c>
      <c r="BQ89" s="38">
        <v>0.20550000000000002</v>
      </c>
      <c r="BR89" s="41">
        <v>0.2475</v>
      </c>
      <c r="BS89" s="49" t="s">
        <v>38</v>
      </c>
      <c r="BT89" s="41">
        <v>0.19700000000000001</v>
      </c>
      <c r="BU89" s="42">
        <v>0.20499999999999999</v>
      </c>
      <c r="BV89" s="41" t="s">
        <v>38</v>
      </c>
      <c r="BW89" s="42" t="s">
        <v>38</v>
      </c>
      <c r="BX89" s="42" t="s">
        <v>38</v>
      </c>
      <c r="BY89" s="85">
        <f>(0.303+0.286)/2</f>
        <v>0.29449999999999998</v>
      </c>
      <c r="BZ89" s="85">
        <f>(0.287+0.296)/2</f>
        <v>0.29149999999999998</v>
      </c>
      <c r="CA89" s="87">
        <v>0.39050000000000001</v>
      </c>
    </row>
    <row r="90" spans="1:79">
      <c r="A90" s="21" t="s">
        <v>33</v>
      </c>
      <c r="B90" s="82">
        <v>254539.991026</v>
      </c>
      <c r="C90" s="82">
        <v>4505620.2901600003</v>
      </c>
      <c r="D90" s="19" t="s">
        <v>38</v>
      </c>
      <c r="E90" s="20">
        <v>0.27900000000000003</v>
      </c>
      <c r="F90" s="20">
        <v>0.255</v>
      </c>
      <c r="G90" s="20">
        <v>0.27400000000000002</v>
      </c>
      <c r="H90" s="20">
        <v>0.2445</v>
      </c>
      <c r="I90" s="20">
        <v>0.23299999999999998</v>
      </c>
      <c r="J90" s="20">
        <v>0.20450000000000002</v>
      </c>
      <c r="K90" s="20">
        <v>0.153</v>
      </c>
      <c r="L90" s="20">
        <v>0.223</v>
      </c>
      <c r="M90" s="20">
        <v>0.14849999999999999</v>
      </c>
      <c r="N90" s="16">
        <v>0.16350000000000001</v>
      </c>
      <c r="O90" s="16">
        <v>0.13650000000000001</v>
      </c>
      <c r="P90" s="16">
        <v>0.155</v>
      </c>
      <c r="Q90" s="16">
        <v>0.2145</v>
      </c>
      <c r="R90" s="23" t="s">
        <v>38</v>
      </c>
      <c r="S90" s="23" t="s">
        <v>38</v>
      </c>
      <c r="T90" s="24">
        <v>0.29699999999999999</v>
      </c>
      <c r="U90" s="24">
        <v>0.33100000000000002</v>
      </c>
      <c r="V90" s="24">
        <v>0.32600000000000001</v>
      </c>
      <c r="W90" s="24">
        <v>0.42399999999999999</v>
      </c>
      <c r="X90" s="24">
        <v>0.30299999999999999</v>
      </c>
      <c r="Y90" s="24" t="s">
        <v>38</v>
      </c>
      <c r="Z90" s="23">
        <v>0.31</v>
      </c>
      <c r="AA90" s="24">
        <v>0.33900000000000002</v>
      </c>
      <c r="AB90" s="24">
        <v>0.33100000000000002</v>
      </c>
      <c r="AC90" s="24">
        <v>0.317</v>
      </c>
      <c r="AD90" s="24">
        <v>0.311</v>
      </c>
      <c r="AE90" s="23" t="s">
        <v>38</v>
      </c>
      <c r="AF90" s="24">
        <v>0.23400000000000001</v>
      </c>
      <c r="AG90" s="24">
        <v>0.221</v>
      </c>
      <c r="AH90" s="24">
        <v>0.17</v>
      </c>
      <c r="AI90" s="23" t="s">
        <v>38</v>
      </c>
      <c r="AJ90" s="23" t="s">
        <v>38</v>
      </c>
      <c r="AK90" s="24">
        <v>0.16800000000000001</v>
      </c>
      <c r="AL90" s="23" t="s">
        <v>38</v>
      </c>
      <c r="AM90" s="24">
        <v>0.36399999999999999</v>
      </c>
      <c r="AN90" s="40">
        <v>0.27800000000000002</v>
      </c>
      <c r="AO90" s="40" t="s">
        <v>38</v>
      </c>
      <c r="AP90" s="40" t="s">
        <v>38</v>
      </c>
      <c r="AQ90" s="40">
        <v>0.2525</v>
      </c>
      <c r="AR90" s="40" t="s">
        <v>38</v>
      </c>
      <c r="AS90" s="40" t="s">
        <v>38</v>
      </c>
      <c r="AT90" s="40" t="s">
        <v>38</v>
      </c>
      <c r="AU90" s="40">
        <v>0.19</v>
      </c>
      <c r="AV90" s="40" t="s">
        <v>38</v>
      </c>
      <c r="AW90" s="40" t="s">
        <v>38</v>
      </c>
      <c r="AX90" s="40" t="s">
        <v>38</v>
      </c>
      <c r="AY90" s="40">
        <v>0.191</v>
      </c>
      <c r="AZ90" s="40">
        <v>0.17699999999999999</v>
      </c>
      <c r="BA90" s="40">
        <v>0.23</v>
      </c>
      <c r="BB90" s="49">
        <v>0.1525</v>
      </c>
      <c r="BC90" s="40">
        <v>0.2485</v>
      </c>
      <c r="BD90" s="50">
        <v>0.248</v>
      </c>
      <c r="BE90" s="49" t="s">
        <v>38</v>
      </c>
      <c r="BF90" s="50">
        <v>0.14150000000000001</v>
      </c>
      <c r="BG90" s="40">
        <v>0.28100000000000003</v>
      </c>
      <c r="BH90" s="38" t="s">
        <v>38</v>
      </c>
      <c r="BI90" s="38" t="s">
        <v>38</v>
      </c>
      <c r="BJ90" s="39" t="s">
        <v>38</v>
      </c>
      <c r="BK90" s="38">
        <v>0.24399999999999999</v>
      </c>
      <c r="BL90" s="38" t="s">
        <v>38</v>
      </c>
      <c r="BM90" s="38" t="s">
        <v>38</v>
      </c>
      <c r="BN90" s="39" t="s">
        <v>38</v>
      </c>
      <c r="BO90" s="40" t="s">
        <v>38</v>
      </c>
      <c r="BP90" s="38" t="s">
        <v>38</v>
      </c>
      <c r="BQ90" s="38">
        <v>0.20350000000000001</v>
      </c>
      <c r="BR90" s="41">
        <v>0.22</v>
      </c>
      <c r="BS90" s="49" t="s">
        <v>38</v>
      </c>
      <c r="BT90" s="41">
        <v>0.19350000000000001</v>
      </c>
      <c r="BU90" s="42">
        <v>0.17799999999999999</v>
      </c>
      <c r="BV90" s="41" t="s">
        <v>38</v>
      </c>
      <c r="BW90" s="42" t="s">
        <v>38</v>
      </c>
      <c r="BX90" s="42" t="s">
        <v>38</v>
      </c>
      <c r="BY90" s="85">
        <f>(0.324+0.328)/2</f>
        <v>0.32600000000000001</v>
      </c>
      <c r="BZ90" s="85">
        <f>(0.284+0.29)/2</f>
        <v>0.28699999999999998</v>
      </c>
      <c r="CA90" s="87">
        <v>0.39300000000000002</v>
      </c>
    </row>
    <row r="91" spans="1:79">
      <c r="A91" s="21">
        <v>62</v>
      </c>
      <c r="B91" s="82">
        <v>254529.63870800001</v>
      </c>
      <c r="C91" s="82">
        <v>4505611.6253199996</v>
      </c>
      <c r="D91" s="19" t="s">
        <v>38</v>
      </c>
      <c r="E91" s="19" t="s">
        <v>38</v>
      </c>
      <c r="F91" s="19" t="s">
        <v>38</v>
      </c>
      <c r="G91" s="19" t="s">
        <v>38</v>
      </c>
      <c r="H91" s="19" t="s">
        <v>38</v>
      </c>
      <c r="I91" s="19" t="s">
        <v>38</v>
      </c>
      <c r="J91" s="19" t="s">
        <v>38</v>
      </c>
      <c r="K91" s="19" t="s">
        <v>38</v>
      </c>
      <c r="L91" s="19" t="s">
        <v>38</v>
      </c>
      <c r="M91" s="19" t="s">
        <v>38</v>
      </c>
      <c r="N91" s="23" t="s">
        <v>38</v>
      </c>
      <c r="O91" s="23" t="s">
        <v>38</v>
      </c>
      <c r="P91" s="23" t="s">
        <v>38</v>
      </c>
      <c r="Q91" s="23" t="s">
        <v>38</v>
      </c>
      <c r="R91" s="23" t="s">
        <v>38</v>
      </c>
      <c r="S91" s="23" t="s">
        <v>38</v>
      </c>
      <c r="T91" s="23" t="s">
        <v>38</v>
      </c>
      <c r="U91" s="23" t="s">
        <v>38</v>
      </c>
      <c r="V91" s="23" t="s">
        <v>38</v>
      </c>
      <c r="W91" s="23" t="s">
        <v>38</v>
      </c>
      <c r="X91" s="23" t="s">
        <v>38</v>
      </c>
      <c r="Y91" s="23" t="s">
        <v>38</v>
      </c>
      <c r="Z91" s="23" t="s">
        <v>38</v>
      </c>
      <c r="AA91" s="23" t="s">
        <v>38</v>
      </c>
      <c r="AB91" s="23" t="s">
        <v>38</v>
      </c>
      <c r="AC91" s="23" t="s">
        <v>38</v>
      </c>
      <c r="AD91" s="23" t="s">
        <v>38</v>
      </c>
      <c r="AE91" s="23" t="s">
        <v>38</v>
      </c>
      <c r="AF91" s="23" t="s">
        <v>38</v>
      </c>
      <c r="AG91" s="23" t="s">
        <v>38</v>
      </c>
      <c r="AH91" s="23" t="s">
        <v>38</v>
      </c>
      <c r="AI91" s="23" t="s">
        <v>38</v>
      </c>
      <c r="AJ91" s="23" t="s">
        <v>38</v>
      </c>
      <c r="AK91" s="23" t="s">
        <v>38</v>
      </c>
      <c r="AL91" s="23" t="s">
        <v>38</v>
      </c>
      <c r="AM91" s="23" t="s">
        <v>38</v>
      </c>
      <c r="AN91" s="23" t="s">
        <v>38</v>
      </c>
      <c r="AO91" s="23" t="s">
        <v>38</v>
      </c>
      <c r="AP91" s="23" t="s">
        <v>38</v>
      </c>
      <c r="AQ91" s="23" t="s">
        <v>38</v>
      </c>
      <c r="AR91" s="23" t="s">
        <v>38</v>
      </c>
      <c r="AS91" s="23" t="s">
        <v>38</v>
      </c>
      <c r="AT91" s="23" t="s">
        <v>38</v>
      </c>
      <c r="AU91" s="23" t="s">
        <v>38</v>
      </c>
      <c r="AV91" s="23" t="s">
        <v>38</v>
      </c>
      <c r="AW91" s="23" t="s">
        <v>38</v>
      </c>
      <c r="AX91" s="23" t="s">
        <v>38</v>
      </c>
      <c r="AY91" s="23" t="s">
        <v>38</v>
      </c>
      <c r="AZ91" s="23" t="s">
        <v>38</v>
      </c>
      <c r="BA91" s="23" t="s">
        <v>38</v>
      </c>
      <c r="BB91" s="23" t="s">
        <v>38</v>
      </c>
      <c r="BC91" s="23" t="s">
        <v>38</v>
      </c>
      <c r="BD91" s="23" t="s">
        <v>38</v>
      </c>
      <c r="BE91" s="23" t="s">
        <v>38</v>
      </c>
      <c r="BF91" s="23" t="s">
        <v>38</v>
      </c>
      <c r="BG91" s="23" t="s">
        <v>38</v>
      </c>
      <c r="BH91" s="23" t="s">
        <v>38</v>
      </c>
      <c r="BI91" s="23" t="s">
        <v>38</v>
      </c>
      <c r="BJ91" s="23" t="s">
        <v>38</v>
      </c>
      <c r="BK91" s="23" t="s">
        <v>38</v>
      </c>
      <c r="BL91" s="23" t="s">
        <v>38</v>
      </c>
      <c r="BM91" s="23" t="s">
        <v>38</v>
      </c>
      <c r="BN91" s="23" t="s">
        <v>38</v>
      </c>
      <c r="BO91" s="23" t="s">
        <v>38</v>
      </c>
      <c r="BP91" s="23" t="s">
        <v>38</v>
      </c>
      <c r="BQ91" s="23" t="s">
        <v>38</v>
      </c>
      <c r="BR91" s="23" t="s">
        <v>38</v>
      </c>
      <c r="BS91" s="23" t="s">
        <v>38</v>
      </c>
      <c r="BT91" s="23" t="s">
        <v>38</v>
      </c>
      <c r="BU91" s="23" t="s">
        <v>38</v>
      </c>
      <c r="BV91" s="23" t="s">
        <v>38</v>
      </c>
      <c r="BW91" s="23" t="s">
        <v>38</v>
      </c>
      <c r="BX91" s="23" t="s">
        <v>38</v>
      </c>
      <c r="BY91" s="69" t="s">
        <v>38</v>
      </c>
      <c r="BZ91" s="69" t="s">
        <v>38</v>
      </c>
      <c r="CA91" s="86" t="s">
        <v>38</v>
      </c>
    </row>
    <row r="92" spans="1:79">
      <c r="A92" s="21">
        <v>63</v>
      </c>
      <c r="B92" s="82">
        <v>254551.13957</v>
      </c>
      <c r="C92" s="82">
        <v>4505625.0883400002</v>
      </c>
      <c r="D92" s="19" t="s">
        <v>38</v>
      </c>
      <c r="E92" s="19" t="s">
        <v>38</v>
      </c>
      <c r="F92" s="19" t="s">
        <v>38</v>
      </c>
      <c r="G92" s="19" t="s">
        <v>38</v>
      </c>
      <c r="H92" s="19" t="s">
        <v>38</v>
      </c>
      <c r="I92" s="19" t="s">
        <v>38</v>
      </c>
      <c r="J92" s="19" t="s">
        <v>38</v>
      </c>
      <c r="K92" s="19" t="s">
        <v>38</v>
      </c>
      <c r="L92" s="19" t="s">
        <v>38</v>
      </c>
      <c r="M92" s="19" t="s">
        <v>38</v>
      </c>
      <c r="N92" s="23" t="s">
        <v>38</v>
      </c>
      <c r="O92" s="23" t="s">
        <v>38</v>
      </c>
      <c r="P92" s="23" t="s">
        <v>38</v>
      </c>
      <c r="Q92" s="23" t="s">
        <v>38</v>
      </c>
      <c r="R92" s="23" t="s">
        <v>38</v>
      </c>
      <c r="S92" s="23" t="s">
        <v>38</v>
      </c>
      <c r="T92" s="23" t="s">
        <v>38</v>
      </c>
      <c r="U92" s="23" t="s">
        <v>38</v>
      </c>
      <c r="V92" s="23" t="s">
        <v>38</v>
      </c>
      <c r="W92" s="23" t="s">
        <v>38</v>
      </c>
      <c r="X92" s="23" t="s">
        <v>38</v>
      </c>
      <c r="Y92" s="23" t="s">
        <v>38</v>
      </c>
      <c r="Z92" s="23" t="s">
        <v>38</v>
      </c>
      <c r="AA92" s="23" t="s">
        <v>38</v>
      </c>
      <c r="AB92" s="23" t="s">
        <v>38</v>
      </c>
      <c r="AC92" s="23" t="s">
        <v>38</v>
      </c>
      <c r="AD92" s="23" t="s">
        <v>38</v>
      </c>
      <c r="AE92" s="23" t="s">
        <v>38</v>
      </c>
      <c r="AF92" s="23" t="s">
        <v>38</v>
      </c>
      <c r="AG92" s="23" t="s">
        <v>38</v>
      </c>
      <c r="AH92" s="23" t="s">
        <v>38</v>
      </c>
      <c r="AI92" s="23" t="s">
        <v>38</v>
      </c>
      <c r="AJ92" s="23" t="s">
        <v>38</v>
      </c>
      <c r="AK92" s="23" t="s">
        <v>38</v>
      </c>
      <c r="AL92" s="23" t="s">
        <v>38</v>
      </c>
      <c r="AM92" s="23" t="s">
        <v>38</v>
      </c>
      <c r="AN92" s="23" t="s">
        <v>38</v>
      </c>
      <c r="AO92" s="23" t="s">
        <v>38</v>
      </c>
      <c r="AP92" s="23" t="s">
        <v>38</v>
      </c>
      <c r="AQ92" s="23" t="s">
        <v>38</v>
      </c>
      <c r="AR92" s="23" t="s">
        <v>38</v>
      </c>
      <c r="AS92" s="23" t="s">
        <v>38</v>
      </c>
      <c r="AT92" s="23" t="s">
        <v>38</v>
      </c>
      <c r="AU92" s="23" t="s">
        <v>38</v>
      </c>
      <c r="AV92" s="23" t="s">
        <v>38</v>
      </c>
      <c r="AW92" s="23" t="s">
        <v>38</v>
      </c>
      <c r="AX92" s="23" t="s">
        <v>38</v>
      </c>
      <c r="AY92" s="23" t="s">
        <v>38</v>
      </c>
      <c r="AZ92" s="23" t="s">
        <v>38</v>
      </c>
      <c r="BA92" s="23" t="s">
        <v>38</v>
      </c>
      <c r="BB92" s="23" t="s">
        <v>38</v>
      </c>
      <c r="BC92" s="23" t="s">
        <v>38</v>
      </c>
      <c r="BD92" s="23" t="s">
        <v>38</v>
      </c>
      <c r="BE92" s="23" t="s">
        <v>38</v>
      </c>
      <c r="BF92" s="23" t="s">
        <v>38</v>
      </c>
      <c r="BG92" s="23" t="s">
        <v>38</v>
      </c>
      <c r="BH92" s="23" t="s">
        <v>38</v>
      </c>
      <c r="BI92" s="23" t="s">
        <v>38</v>
      </c>
      <c r="BJ92" s="23" t="s">
        <v>38</v>
      </c>
      <c r="BK92" s="23" t="s">
        <v>38</v>
      </c>
      <c r="BL92" s="23" t="s">
        <v>38</v>
      </c>
      <c r="BM92" s="23" t="s">
        <v>38</v>
      </c>
      <c r="BN92" s="23" t="s">
        <v>38</v>
      </c>
      <c r="BO92" s="23" t="s">
        <v>38</v>
      </c>
      <c r="BP92" s="23" t="s">
        <v>38</v>
      </c>
      <c r="BQ92" s="23" t="s">
        <v>38</v>
      </c>
      <c r="BR92" s="23" t="s">
        <v>38</v>
      </c>
      <c r="BS92" s="23" t="s">
        <v>38</v>
      </c>
      <c r="BT92" s="23" t="s">
        <v>38</v>
      </c>
      <c r="BU92" s="23" t="s">
        <v>38</v>
      </c>
      <c r="BV92" s="23" t="s">
        <v>38</v>
      </c>
      <c r="BW92" s="23" t="s">
        <v>38</v>
      </c>
      <c r="BX92" s="23" t="s">
        <v>38</v>
      </c>
      <c r="BY92" s="69" t="s">
        <v>38</v>
      </c>
      <c r="BZ92" s="69" t="s">
        <v>38</v>
      </c>
      <c r="CA92" s="86" t="s">
        <v>38</v>
      </c>
    </row>
    <row r="93" spans="1:79">
      <c r="A93" s="21">
        <v>64</v>
      </c>
      <c r="B93" s="82">
        <v>254546.275371</v>
      </c>
      <c r="C93" s="82">
        <v>4505618.8425099999</v>
      </c>
      <c r="D93" s="19" t="s">
        <v>38</v>
      </c>
      <c r="E93" s="19" t="s">
        <v>38</v>
      </c>
      <c r="F93" s="19" t="s">
        <v>38</v>
      </c>
      <c r="G93" s="19" t="s">
        <v>38</v>
      </c>
      <c r="H93" s="19" t="s">
        <v>38</v>
      </c>
      <c r="I93" s="19" t="s">
        <v>38</v>
      </c>
      <c r="J93" s="19" t="s">
        <v>38</v>
      </c>
      <c r="K93" s="19" t="s">
        <v>38</v>
      </c>
      <c r="L93" s="19" t="s">
        <v>38</v>
      </c>
      <c r="M93" s="19" t="s">
        <v>38</v>
      </c>
      <c r="N93" s="23" t="s">
        <v>38</v>
      </c>
      <c r="O93" s="23" t="s">
        <v>38</v>
      </c>
      <c r="P93" s="23" t="s">
        <v>38</v>
      </c>
      <c r="Q93" s="23" t="s">
        <v>38</v>
      </c>
      <c r="R93" s="23" t="s">
        <v>38</v>
      </c>
      <c r="S93" s="23" t="s">
        <v>38</v>
      </c>
      <c r="T93" s="23" t="s">
        <v>38</v>
      </c>
      <c r="U93" s="23" t="s">
        <v>38</v>
      </c>
      <c r="V93" s="23" t="s">
        <v>38</v>
      </c>
      <c r="W93" s="23" t="s">
        <v>38</v>
      </c>
      <c r="X93" s="23" t="s">
        <v>38</v>
      </c>
      <c r="Y93" s="23" t="s">
        <v>38</v>
      </c>
      <c r="Z93" s="23" t="s">
        <v>38</v>
      </c>
      <c r="AA93" s="23" t="s">
        <v>38</v>
      </c>
      <c r="AB93" s="23" t="s">
        <v>38</v>
      </c>
      <c r="AC93" s="23" t="s">
        <v>38</v>
      </c>
      <c r="AD93" s="23" t="s">
        <v>38</v>
      </c>
      <c r="AE93" s="23" t="s">
        <v>38</v>
      </c>
      <c r="AF93" s="23" t="s">
        <v>38</v>
      </c>
      <c r="AG93" s="23" t="s">
        <v>38</v>
      </c>
      <c r="AH93" s="23" t="s">
        <v>38</v>
      </c>
      <c r="AI93" s="23" t="s">
        <v>38</v>
      </c>
      <c r="AJ93" s="23" t="s">
        <v>38</v>
      </c>
      <c r="AK93" s="23" t="s">
        <v>38</v>
      </c>
      <c r="AL93" s="23" t="s">
        <v>38</v>
      </c>
      <c r="AM93" s="23" t="s">
        <v>38</v>
      </c>
      <c r="AN93" s="23" t="s">
        <v>38</v>
      </c>
      <c r="AO93" s="23" t="s">
        <v>38</v>
      </c>
      <c r="AP93" s="23" t="s">
        <v>38</v>
      </c>
      <c r="AQ93" s="23" t="s">
        <v>38</v>
      </c>
      <c r="AR93" s="23" t="s">
        <v>38</v>
      </c>
      <c r="AS93" s="23" t="s">
        <v>38</v>
      </c>
      <c r="AT93" s="23" t="s">
        <v>38</v>
      </c>
      <c r="AU93" s="23" t="s">
        <v>38</v>
      </c>
      <c r="AV93" s="23" t="s">
        <v>38</v>
      </c>
      <c r="AW93" s="23" t="s">
        <v>38</v>
      </c>
      <c r="AX93" s="23" t="s">
        <v>38</v>
      </c>
      <c r="AY93" s="23" t="s">
        <v>38</v>
      </c>
      <c r="AZ93" s="23" t="s">
        <v>38</v>
      </c>
      <c r="BA93" s="23" t="s">
        <v>38</v>
      </c>
      <c r="BB93" s="23" t="s">
        <v>38</v>
      </c>
      <c r="BC93" s="23" t="s">
        <v>38</v>
      </c>
      <c r="BD93" s="23" t="s">
        <v>38</v>
      </c>
      <c r="BE93" s="23" t="s">
        <v>38</v>
      </c>
      <c r="BF93" s="23" t="s">
        <v>38</v>
      </c>
      <c r="BG93" s="23" t="s">
        <v>38</v>
      </c>
      <c r="BH93" s="23" t="s">
        <v>38</v>
      </c>
      <c r="BI93" s="23" t="s">
        <v>38</v>
      </c>
      <c r="BJ93" s="23" t="s">
        <v>38</v>
      </c>
      <c r="BK93" s="23" t="s">
        <v>38</v>
      </c>
      <c r="BL93" s="23" t="s">
        <v>38</v>
      </c>
      <c r="BM93" s="23" t="s">
        <v>38</v>
      </c>
      <c r="BN93" s="23" t="s">
        <v>38</v>
      </c>
      <c r="BO93" s="23" t="s">
        <v>38</v>
      </c>
      <c r="BP93" s="23" t="s">
        <v>38</v>
      </c>
      <c r="BQ93" s="23" t="s">
        <v>38</v>
      </c>
      <c r="BR93" s="23" t="s">
        <v>38</v>
      </c>
      <c r="BS93" s="23" t="s">
        <v>38</v>
      </c>
      <c r="BT93" s="23" t="s">
        <v>38</v>
      </c>
      <c r="BU93" s="23" t="s">
        <v>38</v>
      </c>
      <c r="BV93" s="23" t="s">
        <v>38</v>
      </c>
      <c r="BW93" s="23" t="s">
        <v>38</v>
      </c>
      <c r="BX93" s="23" t="s">
        <v>38</v>
      </c>
      <c r="BY93" s="69" t="s">
        <v>38</v>
      </c>
      <c r="BZ93" s="69" t="s">
        <v>38</v>
      </c>
      <c r="CA93" s="86" t="s">
        <v>38</v>
      </c>
    </row>
    <row r="94" spans="1:79">
      <c r="A94" s="21">
        <v>65</v>
      </c>
      <c r="B94" s="82">
        <v>254565.06507300001</v>
      </c>
      <c r="C94" s="82">
        <v>4505658.6095899995</v>
      </c>
      <c r="D94" s="19">
        <v>0.27649999999999997</v>
      </c>
      <c r="E94" s="20">
        <v>0.26400000000000001</v>
      </c>
      <c r="F94" s="20">
        <v>0.27600000000000002</v>
      </c>
      <c r="G94" s="20">
        <v>0.27750000000000002</v>
      </c>
      <c r="H94" s="20">
        <v>0.27750000000000002</v>
      </c>
      <c r="I94" s="20">
        <v>0.22550000000000001</v>
      </c>
      <c r="J94" s="20">
        <v>0.19950000000000001</v>
      </c>
      <c r="K94" s="20">
        <v>0.13800000000000001</v>
      </c>
      <c r="L94" s="20">
        <v>0.19950000000000001</v>
      </c>
      <c r="M94" s="20">
        <v>0.1235</v>
      </c>
      <c r="N94" s="16">
        <v>0.16650000000000001</v>
      </c>
      <c r="O94" s="16">
        <v>0.121</v>
      </c>
      <c r="P94" s="16">
        <v>0.13750000000000001</v>
      </c>
      <c r="Q94" s="16">
        <v>0.2145</v>
      </c>
      <c r="R94" s="16">
        <v>0.25700000000000001</v>
      </c>
      <c r="S94" s="16">
        <v>0.252</v>
      </c>
      <c r="T94" s="24">
        <v>0.245</v>
      </c>
      <c r="U94" s="24">
        <v>0.28799999999999998</v>
      </c>
      <c r="V94" s="24">
        <v>0.29399999999999998</v>
      </c>
      <c r="W94" s="24">
        <v>0.315</v>
      </c>
      <c r="X94" s="24">
        <v>0.28899999999999998</v>
      </c>
      <c r="Y94" s="24">
        <v>0.27</v>
      </c>
      <c r="Z94" s="23">
        <v>0.29599999999999999</v>
      </c>
      <c r="AA94" s="24">
        <v>0.29399999999999998</v>
      </c>
      <c r="AB94" s="24">
        <v>0.30499999999999999</v>
      </c>
      <c r="AC94" s="24">
        <v>0.29799999999999999</v>
      </c>
      <c r="AD94" s="24">
        <v>0.28599999999999998</v>
      </c>
      <c r="AE94" s="24">
        <v>0.23899999999999999</v>
      </c>
      <c r="AF94" s="24">
        <v>0.21099999999999999</v>
      </c>
      <c r="AG94" s="24">
        <v>0.20899999999999999</v>
      </c>
      <c r="AH94" s="24">
        <v>0.14699999999999999</v>
      </c>
      <c r="AI94" s="24">
        <v>0.17399999999999999</v>
      </c>
      <c r="AJ94" s="24">
        <v>0.16300000000000001</v>
      </c>
      <c r="AK94" s="24">
        <v>0.14499999999999999</v>
      </c>
      <c r="AL94" s="24">
        <v>0.28799999999999998</v>
      </c>
      <c r="AM94" s="24">
        <v>0.30399999999999999</v>
      </c>
      <c r="AN94" s="40">
        <v>0.25600000000000001</v>
      </c>
      <c r="AO94" s="40">
        <v>0.19800000000000001</v>
      </c>
      <c r="AP94" s="40">
        <v>0.23899999999999999</v>
      </c>
      <c r="AQ94" s="40">
        <v>0.251</v>
      </c>
      <c r="AR94" s="40">
        <v>0.24199999999999999</v>
      </c>
      <c r="AS94" s="40">
        <v>0.224</v>
      </c>
      <c r="AT94" s="40">
        <v>0.222</v>
      </c>
      <c r="AU94" s="40">
        <v>0.188</v>
      </c>
      <c r="AV94" s="40">
        <v>0.16600000000000001</v>
      </c>
      <c r="AW94" s="40">
        <v>0.15</v>
      </c>
      <c r="AX94" s="40">
        <v>0.13500000000000001</v>
      </c>
      <c r="AY94" s="40">
        <v>0.24299999999999999</v>
      </c>
      <c r="AZ94" s="40">
        <v>0.20200000000000001</v>
      </c>
      <c r="BA94" s="40">
        <v>0.17</v>
      </c>
      <c r="BB94" s="49">
        <v>0.16700000000000001</v>
      </c>
      <c r="BC94" s="40">
        <v>0.22600000000000001</v>
      </c>
      <c r="BD94" s="50">
        <v>0.255</v>
      </c>
      <c r="BE94" s="58" t="s">
        <v>38</v>
      </c>
      <c r="BF94" s="58" t="s">
        <v>38</v>
      </c>
      <c r="BG94" s="40">
        <v>0.26750000000000002</v>
      </c>
      <c r="BH94" s="38">
        <v>0.24249999999999999</v>
      </c>
      <c r="BI94" s="38">
        <v>0.27</v>
      </c>
      <c r="BJ94" s="38">
        <v>0.27600000000000002</v>
      </c>
      <c r="BK94" s="38">
        <v>0.253</v>
      </c>
      <c r="BL94" s="38">
        <v>0.24399999999999999</v>
      </c>
      <c r="BM94" s="38">
        <v>0.26100000000000001</v>
      </c>
      <c r="BN94" s="39" t="s">
        <v>38</v>
      </c>
      <c r="BO94" s="40">
        <v>0.26</v>
      </c>
      <c r="BP94" s="38">
        <v>0.26950000000000002</v>
      </c>
      <c r="BQ94" s="38">
        <v>0.20899999999999999</v>
      </c>
      <c r="BR94" s="41">
        <v>0.23399999999999999</v>
      </c>
      <c r="BS94" s="23" t="s">
        <v>38</v>
      </c>
      <c r="BT94" s="41">
        <v>0.191</v>
      </c>
      <c r="BU94" s="42">
        <v>0.21299999999999999</v>
      </c>
      <c r="BV94" s="41">
        <v>0.1825</v>
      </c>
      <c r="BW94" s="42">
        <v>0.25700000000000001</v>
      </c>
      <c r="BX94" s="42" t="s">
        <v>38</v>
      </c>
      <c r="BY94" s="84">
        <v>0.307</v>
      </c>
      <c r="BZ94" s="85">
        <f>(0.388+0.392)/2</f>
        <v>0.39</v>
      </c>
      <c r="CA94" s="87">
        <v>0.30299999999999999</v>
      </c>
    </row>
    <row r="95" spans="1:79">
      <c r="A95" s="21">
        <v>66</v>
      </c>
      <c r="B95" s="82">
        <v>254555.697189</v>
      </c>
      <c r="C95" s="82">
        <v>4505682.2836199999</v>
      </c>
      <c r="D95" s="19" t="s">
        <v>38</v>
      </c>
      <c r="E95" s="19" t="s">
        <v>38</v>
      </c>
      <c r="F95" s="19" t="s">
        <v>38</v>
      </c>
      <c r="G95" s="19" t="s">
        <v>38</v>
      </c>
      <c r="H95" s="19" t="s">
        <v>38</v>
      </c>
      <c r="I95" s="19" t="s">
        <v>38</v>
      </c>
      <c r="J95" s="19" t="s">
        <v>38</v>
      </c>
      <c r="K95" s="19" t="s">
        <v>38</v>
      </c>
      <c r="L95" s="19" t="s">
        <v>38</v>
      </c>
      <c r="M95" s="19" t="s">
        <v>38</v>
      </c>
      <c r="N95" s="23" t="s">
        <v>38</v>
      </c>
      <c r="O95" s="23" t="s">
        <v>38</v>
      </c>
      <c r="P95" s="23" t="s">
        <v>38</v>
      </c>
      <c r="Q95" s="23" t="s">
        <v>38</v>
      </c>
      <c r="R95" s="23" t="s">
        <v>38</v>
      </c>
      <c r="S95" s="23" t="s">
        <v>38</v>
      </c>
      <c r="T95" s="23" t="s">
        <v>38</v>
      </c>
      <c r="U95" s="23" t="s">
        <v>38</v>
      </c>
      <c r="V95" s="23" t="s">
        <v>38</v>
      </c>
      <c r="W95" s="23" t="s">
        <v>38</v>
      </c>
      <c r="X95" s="23" t="s">
        <v>38</v>
      </c>
      <c r="Y95" s="23" t="s">
        <v>38</v>
      </c>
      <c r="Z95" s="23" t="s">
        <v>38</v>
      </c>
      <c r="AA95" s="23" t="s">
        <v>38</v>
      </c>
      <c r="AB95" s="23" t="s">
        <v>38</v>
      </c>
      <c r="AC95" s="23" t="s">
        <v>38</v>
      </c>
      <c r="AD95" s="23" t="s">
        <v>38</v>
      </c>
      <c r="AE95" s="23" t="s">
        <v>38</v>
      </c>
      <c r="AF95" s="23" t="s">
        <v>38</v>
      </c>
      <c r="AG95" s="23" t="s">
        <v>38</v>
      </c>
      <c r="AH95" s="23" t="s">
        <v>38</v>
      </c>
      <c r="AI95" s="23" t="s">
        <v>38</v>
      </c>
      <c r="AJ95" s="23" t="s">
        <v>38</v>
      </c>
      <c r="AK95" s="23" t="s">
        <v>38</v>
      </c>
      <c r="AL95" s="23" t="s">
        <v>38</v>
      </c>
      <c r="AM95" s="23" t="s">
        <v>38</v>
      </c>
      <c r="AN95" s="23" t="s">
        <v>38</v>
      </c>
      <c r="AO95" s="23" t="s">
        <v>38</v>
      </c>
      <c r="AP95" s="23" t="s">
        <v>38</v>
      </c>
      <c r="AQ95" s="23" t="s">
        <v>38</v>
      </c>
      <c r="AR95" s="23" t="s">
        <v>38</v>
      </c>
      <c r="AS95" s="23" t="s">
        <v>38</v>
      </c>
      <c r="AT95" s="23" t="s">
        <v>38</v>
      </c>
      <c r="AU95" s="23" t="s">
        <v>38</v>
      </c>
      <c r="AV95" s="23" t="s">
        <v>38</v>
      </c>
      <c r="AW95" s="23" t="s">
        <v>38</v>
      </c>
      <c r="AX95" s="23" t="s">
        <v>38</v>
      </c>
      <c r="AY95" s="23" t="s">
        <v>38</v>
      </c>
      <c r="AZ95" s="23" t="s">
        <v>38</v>
      </c>
      <c r="BA95" s="23" t="s">
        <v>38</v>
      </c>
      <c r="BB95" s="23" t="s">
        <v>38</v>
      </c>
      <c r="BC95" s="23" t="s">
        <v>38</v>
      </c>
      <c r="BD95" s="23" t="s">
        <v>38</v>
      </c>
      <c r="BE95" s="23" t="s">
        <v>38</v>
      </c>
      <c r="BF95" s="23" t="s">
        <v>38</v>
      </c>
      <c r="BG95" s="23" t="s">
        <v>38</v>
      </c>
      <c r="BH95" s="23" t="s">
        <v>38</v>
      </c>
      <c r="BI95" s="23" t="s">
        <v>38</v>
      </c>
      <c r="BJ95" s="23" t="s">
        <v>38</v>
      </c>
      <c r="BK95" s="23" t="s">
        <v>38</v>
      </c>
      <c r="BL95" s="23" t="s">
        <v>38</v>
      </c>
      <c r="BM95" s="23" t="s">
        <v>38</v>
      </c>
      <c r="BN95" s="23" t="s">
        <v>38</v>
      </c>
      <c r="BO95" s="23" t="s">
        <v>38</v>
      </c>
      <c r="BP95" s="23" t="s">
        <v>38</v>
      </c>
      <c r="BQ95" s="23" t="s">
        <v>38</v>
      </c>
      <c r="BR95" s="23" t="s">
        <v>38</v>
      </c>
      <c r="BS95" s="23" t="s">
        <v>38</v>
      </c>
      <c r="BT95" s="23" t="s">
        <v>38</v>
      </c>
      <c r="BU95" s="23" t="s">
        <v>38</v>
      </c>
      <c r="BV95" s="23" t="s">
        <v>38</v>
      </c>
      <c r="BW95" s="23" t="s">
        <v>38</v>
      </c>
      <c r="BX95" s="23" t="s">
        <v>38</v>
      </c>
      <c r="BY95" s="69" t="s">
        <v>38</v>
      </c>
      <c r="BZ95" s="69" t="s">
        <v>38</v>
      </c>
      <c r="CA95" s="86" t="s">
        <v>38</v>
      </c>
    </row>
    <row r="96" spans="1:79">
      <c r="A96" s="21">
        <v>67</v>
      </c>
      <c r="B96" s="82">
        <v>254555.67023700001</v>
      </c>
      <c r="C96" s="82">
        <v>4505716.0668700002</v>
      </c>
      <c r="D96" s="19">
        <v>0.19350000000000001</v>
      </c>
      <c r="E96" s="20">
        <v>0.189</v>
      </c>
      <c r="F96" s="20">
        <v>0.19900000000000001</v>
      </c>
      <c r="G96" s="20">
        <v>0.20749999999999999</v>
      </c>
      <c r="H96" s="20">
        <v>0.19450000000000001</v>
      </c>
      <c r="I96" s="20">
        <v>0.157</v>
      </c>
      <c r="J96" s="20">
        <v>0.126</v>
      </c>
      <c r="K96" s="20">
        <v>0.107</v>
      </c>
      <c r="L96" s="20">
        <v>0.17649999999999999</v>
      </c>
      <c r="M96" s="20">
        <v>0.1095</v>
      </c>
      <c r="N96" s="16">
        <v>0.16250000000000001</v>
      </c>
      <c r="O96" s="16">
        <v>0.13</v>
      </c>
      <c r="P96" s="16">
        <v>0.1255</v>
      </c>
      <c r="Q96" s="16">
        <v>0.17</v>
      </c>
      <c r="R96" s="16">
        <v>0.17849999999999999</v>
      </c>
      <c r="S96" s="16">
        <v>0.2</v>
      </c>
      <c r="T96" s="24">
        <v>0.23400000000000001</v>
      </c>
      <c r="U96" s="24">
        <v>0.20899999999999999</v>
      </c>
      <c r="V96" s="23">
        <v>0.20399999999999999</v>
      </c>
      <c r="W96" s="23">
        <v>0.20699999999999999</v>
      </c>
      <c r="X96" s="23" t="s">
        <v>38</v>
      </c>
      <c r="Y96" s="24">
        <v>0.153</v>
      </c>
      <c r="Z96" s="23">
        <v>0.17</v>
      </c>
      <c r="AA96" s="24">
        <v>0.17599999999999999</v>
      </c>
      <c r="AB96" s="24">
        <v>0.224</v>
      </c>
      <c r="AC96" s="24">
        <v>0.19400000000000001</v>
      </c>
      <c r="AD96" s="24">
        <v>0.191</v>
      </c>
      <c r="AE96" s="24">
        <v>0.189</v>
      </c>
      <c r="AF96" s="24">
        <v>0.16400000000000001</v>
      </c>
      <c r="AG96" s="24">
        <v>0.17699999999999999</v>
      </c>
      <c r="AH96" s="24">
        <v>0.125</v>
      </c>
      <c r="AI96" s="24">
        <v>0.157</v>
      </c>
      <c r="AJ96" s="24">
        <v>0.14499999999999999</v>
      </c>
      <c r="AK96" s="24">
        <v>0.14699999999999999</v>
      </c>
      <c r="AL96" s="24">
        <v>0.22900000000000001</v>
      </c>
      <c r="AM96" s="24">
        <v>0.214</v>
      </c>
      <c r="AN96" s="40">
        <v>0.17899999999999999</v>
      </c>
      <c r="AO96" s="40">
        <v>0.14099999999999999</v>
      </c>
      <c r="AP96" s="40" t="s">
        <v>38</v>
      </c>
      <c r="AQ96" s="40">
        <v>0.14899999999999999</v>
      </c>
      <c r="AR96" s="40">
        <v>0.14399999999999999</v>
      </c>
      <c r="AS96" s="40">
        <v>0.13200000000000001</v>
      </c>
      <c r="AT96" s="40">
        <v>0.14799999999999999</v>
      </c>
      <c r="AU96" s="40">
        <v>0.129</v>
      </c>
      <c r="AV96" s="40">
        <v>0.13500000000000001</v>
      </c>
      <c r="AW96" s="40">
        <v>0.129</v>
      </c>
      <c r="AX96" s="40" t="s">
        <v>38</v>
      </c>
      <c r="AY96" s="40">
        <v>0.23300000000000001</v>
      </c>
      <c r="AZ96" s="40">
        <v>0.20599999999999999</v>
      </c>
      <c r="BA96" s="40">
        <v>0.23100000000000001</v>
      </c>
      <c r="BB96" s="49">
        <v>0.13100000000000001</v>
      </c>
      <c r="BC96" s="40" t="s">
        <v>38</v>
      </c>
      <c r="BD96" s="50">
        <v>0.19950000000000001</v>
      </c>
      <c r="BE96" s="58" t="s">
        <v>38</v>
      </c>
      <c r="BF96" s="58" t="s">
        <v>38</v>
      </c>
      <c r="BG96" s="40">
        <v>0.1905</v>
      </c>
      <c r="BH96" s="38">
        <v>0.1615</v>
      </c>
      <c r="BI96" s="38">
        <v>0.186</v>
      </c>
      <c r="BJ96" s="38">
        <v>0.192</v>
      </c>
      <c r="BK96" s="38">
        <v>0.17549999999999999</v>
      </c>
      <c r="BL96" s="38">
        <v>0.16600000000000001</v>
      </c>
      <c r="BM96" s="38">
        <v>0.1825</v>
      </c>
      <c r="BN96" s="39" t="s">
        <v>38</v>
      </c>
      <c r="BO96" s="40">
        <v>0.159</v>
      </c>
      <c r="BP96" s="38" t="s">
        <v>38</v>
      </c>
      <c r="BQ96" s="38">
        <v>0.13600000000000001</v>
      </c>
      <c r="BR96" s="41">
        <v>0.17399999999999999</v>
      </c>
      <c r="BS96" s="23" t="s">
        <v>38</v>
      </c>
      <c r="BT96" s="41">
        <v>0.13</v>
      </c>
      <c r="BU96" s="42">
        <v>0.16099999999999998</v>
      </c>
      <c r="BV96" s="41">
        <v>0.13950000000000001</v>
      </c>
      <c r="BW96" s="42">
        <v>0.1895</v>
      </c>
      <c r="BX96" s="23" t="s">
        <v>38</v>
      </c>
      <c r="BY96" s="85">
        <f>(0.258+0.24)/2</f>
        <v>0.249</v>
      </c>
      <c r="BZ96" s="85">
        <f>(0.315+0.324)/2</f>
        <v>0.31950000000000001</v>
      </c>
      <c r="CA96" s="87">
        <v>0.2465</v>
      </c>
    </row>
    <row r="97" spans="1:79">
      <c r="A97" s="21">
        <v>68</v>
      </c>
      <c r="B97" s="82">
        <v>254550.90865100001</v>
      </c>
      <c r="C97" s="82">
        <v>4505648.5313400002</v>
      </c>
      <c r="D97" s="19" t="s">
        <v>38</v>
      </c>
      <c r="E97" s="20">
        <v>0.2485</v>
      </c>
      <c r="F97" s="20">
        <v>0.2555</v>
      </c>
      <c r="G97" s="20">
        <v>0.252</v>
      </c>
      <c r="H97" s="20">
        <v>0.2525</v>
      </c>
      <c r="I97" s="20">
        <v>0.20250000000000001</v>
      </c>
      <c r="J97" s="20">
        <v>0.17799999999999999</v>
      </c>
      <c r="K97" s="20">
        <v>0.13950000000000001</v>
      </c>
      <c r="L97" s="20">
        <v>0.20550000000000002</v>
      </c>
      <c r="M97" s="20">
        <v>0.14100000000000001</v>
      </c>
      <c r="N97" s="16">
        <v>0.17</v>
      </c>
      <c r="O97" s="16">
        <v>0.1275</v>
      </c>
      <c r="P97" s="16">
        <v>0.14849999999999999</v>
      </c>
      <c r="Q97" s="16">
        <v>0.223</v>
      </c>
      <c r="R97" s="16">
        <v>0.23449999999999999</v>
      </c>
      <c r="S97" s="16">
        <v>0.23699999999999999</v>
      </c>
      <c r="T97" s="24">
        <v>0.30599999999999999</v>
      </c>
      <c r="U97" s="24">
        <v>0.24099999999999999</v>
      </c>
      <c r="V97" s="24">
        <v>0.28499999999999998</v>
      </c>
      <c r="W97" s="24">
        <v>0.29299999999999998</v>
      </c>
      <c r="X97" s="24">
        <v>0.27100000000000002</v>
      </c>
      <c r="Y97" s="24">
        <v>0.23400000000000001</v>
      </c>
      <c r="Z97" s="23">
        <v>0.27200000000000002</v>
      </c>
      <c r="AA97" s="24">
        <v>0.27500000000000002</v>
      </c>
      <c r="AB97" s="24">
        <v>0.28100000000000003</v>
      </c>
      <c r="AC97" s="24">
        <v>0.27800000000000002</v>
      </c>
      <c r="AD97" s="24">
        <v>0.247</v>
      </c>
      <c r="AE97" s="24">
        <v>0.22500000000000001</v>
      </c>
      <c r="AF97" s="24">
        <v>0.193</v>
      </c>
      <c r="AG97" s="24">
        <v>0.23200000000000001</v>
      </c>
      <c r="AH97" s="24">
        <v>0.14499999999999999</v>
      </c>
      <c r="AI97" s="24">
        <v>0.17899999999999999</v>
      </c>
      <c r="AJ97" s="24">
        <v>0.18</v>
      </c>
      <c r="AK97" s="24">
        <v>0.156</v>
      </c>
      <c r="AL97" s="24">
        <v>0.29899999999999999</v>
      </c>
      <c r="AM97" s="23" t="s">
        <v>38</v>
      </c>
      <c r="AN97" s="40">
        <v>0.245</v>
      </c>
      <c r="AO97" s="40">
        <v>0.17299999999999999</v>
      </c>
      <c r="AP97" s="40">
        <v>0.186</v>
      </c>
      <c r="AQ97" s="40">
        <v>0.216</v>
      </c>
      <c r="AR97" s="40">
        <v>0.19900000000000001</v>
      </c>
      <c r="AS97" s="40">
        <v>0.187</v>
      </c>
      <c r="AT97" s="40">
        <v>0.20300000000000001</v>
      </c>
      <c r="AU97" s="40">
        <v>0.17199999999999999</v>
      </c>
      <c r="AV97" s="40">
        <v>0.16500000000000001</v>
      </c>
      <c r="AW97" s="40">
        <v>0.14899999999999999</v>
      </c>
      <c r="AX97" s="40">
        <v>0.14099999999999999</v>
      </c>
      <c r="AY97" s="40">
        <v>0.23499999999999999</v>
      </c>
      <c r="AZ97" s="40">
        <v>0.215</v>
      </c>
      <c r="BA97" s="40">
        <v>0.22600000000000001</v>
      </c>
      <c r="BB97" s="49">
        <v>0.1575</v>
      </c>
      <c r="BC97" s="40">
        <v>0.20449999999999999</v>
      </c>
      <c r="BD97" s="50" t="s">
        <v>38</v>
      </c>
      <c r="BE97" s="58" t="s">
        <v>38</v>
      </c>
      <c r="BF97" s="58" t="s">
        <v>38</v>
      </c>
      <c r="BG97" s="40">
        <v>0.2555</v>
      </c>
      <c r="BH97" s="38">
        <v>0.218</v>
      </c>
      <c r="BI97" s="38">
        <v>0.25900000000000001</v>
      </c>
      <c r="BJ97" s="38">
        <v>0.25850000000000001</v>
      </c>
      <c r="BK97" s="38">
        <v>0.2455</v>
      </c>
      <c r="BL97" s="38">
        <v>0.2225</v>
      </c>
      <c r="BM97" s="38">
        <v>0.26100000000000001</v>
      </c>
      <c r="BN97" s="39" t="s">
        <v>38</v>
      </c>
      <c r="BO97" s="40">
        <v>0.26250000000000001</v>
      </c>
      <c r="BP97" s="38">
        <v>0.23599999999999999</v>
      </c>
      <c r="BQ97" s="38">
        <v>0.192</v>
      </c>
      <c r="BR97" s="41">
        <v>0.21199999999999999</v>
      </c>
      <c r="BS97" s="23" t="s">
        <v>38</v>
      </c>
      <c r="BT97" s="41">
        <v>0.18</v>
      </c>
      <c r="BU97" s="42">
        <v>0.21049999999999999</v>
      </c>
      <c r="BV97" s="41">
        <v>0.1835</v>
      </c>
      <c r="BW97" s="42">
        <v>0.26350000000000001</v>
      </c>
      <c r="BX97" s="23" t="s">
        <v>38</v>
      </c>
      <c r="BY97" s="85">
        <f>(0.29+0.305)/2</f>
        <v>0.29749999999999999</v>
      </c>
      <c r="BZ97" s="85">
        <f>(0.354+0.364)/2</f>
        <v>0.35899999999999999</v>
      </c>
      <c r="CA97" s="87">
        <v>0.27350000000000002</v>
      </c>
    </row>
    <row r="98" spans="1:79">
      <c r="A98" s="21">
        <v>69</v>
      </c>
      <c r="B98" s="83">
        <v>254597.82972499999</v>
      </c>
      <c r="C98" s="83">
        <v>4505663.6450399999</v>
      </c>
      <c r="D98" s="19" t="s">
        <v>38</v>
      </c>
      <c r="E98" s="19" t="s">
        <v>38</v>
      </c>
      <c r="F98" s="19" t="s">
        <v>38</v>
      </c>
      <c r="G98" s="19" t="s">
        <v>38</v>
      </c>
      <c r="H98" s="19" t="s">
        <v>38</v>
      </c>
      <c r="I98" s="19" t="s">
        <v>38</v>
      </c>
      <c r="J98" s="19" t="s">
        <v>38</v>
      </c>
      <c r="K98" s="19" t="s">
        <v>38</v>
      </c>
      <c r="L98" s="19" t="s">
        <v>38</v>
      </c>
      <c r="M98" s="19" t="s">
        <v>38</v>
      </c>
      <c r="N98" s="23" t="s">
        <v>38</v>
      </c>
      <c r="O98" s="23" t="s">
        <v>38</v>
      </c>
      <c r="P98" s="23" t="s">
        <v>38</v>
      </c>
      <c r="Q98" s="23" t="s">
        <v>38</v>
      </c>
      <c r="R98" s="23" t="s">
        <v>38</v>
      </c>
      <c r="S98" s="23" t="s">
        <v>38</v>
      </c>
      <c r="T98" s="23" t="s">
        <v>38</v>
      </c>
      <c r="U98" s="23" t="s">
        <v>38</v>
      </c>
      <c r="V98" s="23" t="s">
        <v>38</v>
      </c>
      <c r="W98" s="23" t="s">
        <v>38</v>
      </c>
      <c r="X98" s="23" t="s">
        <v>38</v>
      </c>
      <c r="Y98" s="23" t="s">
        <v>38</v>
      </c>
      <c r="Z98" s="23" t="s">
        <v>38</v>
      </c>
      <c r="AA98" s="23" t="s">
        <v>38</v>
      </c>
      <c r="AB98" s="23" t="s">
        <v>38</v>
      </c>
      <c r="AC98" s="23" t="s">
        <v>38</v>
      </c>
      <c r="AD98" s="23" t="s">
        <v>38</v>
      </c>
      <c r="AE98" s="23" t="s">
        <v>38</v>
      </c>
      <c r="AF98" s="23" t="s">
        <v>38</v>
      </c>
      <c r="AG98" s="23" t="s">
        <v>38</v>
      </c>
      <c r="AH98" s="23" t="s">
        <v>38</v>
      </c>
      <c r="AI98" s="23" t="s">
        <v>38</v>
      </c>
      <c r="AJ98" s="23" t="s">
        <v>38</v>
      </c>
      <c r="AK98" s="23" t="s">
        <v>38</v>
      </c>
      <c r="AL98" s="23" t="s">
        <v>38</v>
      </c>
      <c r="AM98" s="23" t="s">
        <v>38</v>
      </c>
      <c r="AN98" s="23" t="s">
        <v>38</v>
      </c>
      <c r="AO98" s="23" t="s">
        <v>38</v>
      </c>
      <c r="AP98" s="23" t="s">
        <v>38</v>
      </c>
      <c r="AQ98" s="23" t="s">
        <v>38</v>
      </c>
      <c r="AR98" s="23" t="s">
        <v>38</v>
      </c>
      <c r="AS98" s="23" t="s">
        <v>38</v>
      </c>
      <c r="AT98" s="23" t="s">
        <v>38</v>
      </c>
      <c r="AU98" s="23" t="s">
        <v>38</v>
      </c>
      <c r="AV98" s="23" t="s">
        <v>38</v>
      </c>
      <c r="AW98" s="23" t="s">
        <v>38</v>
      </c>
      <c r="AX98" s="23" t="s">
        <v>38</v>
      </c>
      <c r="AY98" s="23" t="s">
        <v>38</v>
      </c>
      <c r="AZ98" s="23" t="s">
        <v>38</v>
      </c>
      <c r="BA98" s="23" t="s">
        <v>38</v>
      </c>
      <c r="BB98" s="23" t="s">
        <v>38</v>
      </c>
      <c r="BC98" s="23" t="s">
        <v>38</v>
      </c>
      <c r="BD98" s="23" t="s">
        <v>38</v>
      </c>
      <c r="BE98" s="23" t="s">
        <v>38</v>
      </c>
      <c r="BF98" s="23" t="s">
        <v>38</v>
      </c>
      <c r="BG98" s="23" t="s">
        <v>38</v>
      </c>
      <c r="BH98" s="23" t="s">
        <v>38</v>
      </c>
      <c r="BI98" s="23" t="s">
        <v>38</v>
      </c>
      <c r="BJ98" s="23" t="s">
        <v>38</v>
      </c>
      <c r="BK98" s="23" t="s">
        <v>38</v>
      </c>
      <c r="BL98" s="23" t="s">
        <v>38</v>
      </c>
      <c r="BM98" s="23" t="s">
        <v>38</v>
      </c>
      <c r="BN98" s="23" t="s">
        <v>38</v>
      </c>
      <c r="BO98" s="23" t="s">
        <v>38</v>
      </c>
      <c r="BP98" s="23" t="s">
        <v>38</v>
      </c>
      <c r="BQ98" s="23" t="s">
        <v>38</v>
      </c>
      <c r="BR98" s="23" t="s">
        <v>38</v>
      </c>
      <c r="BS98" s="23" t="s">
        <v>38</v>
      </c>
      <c r="BT98" s="23" t="s">
        <v>38</v>
      </c>
      <c r="BU98" s="23" t="s">
        <v>38</v>
      </c>
      <c r="BV98" s="23" t="s">
        <v>38</v>
      </c>
      <c r="BW98" s="23" t="s">
        <v>38</v>
      </c>
      <c r="BX98" s="23" t="s">
        <v>38</v>
      </c>
      <c r="BY98" s="69" t="s">
        <v>38</v>
      </c>
      <c r="BZ98" s="69" t="s">
        <v>38</v>
      </c>
      <c r="CA98" s="86" t="s">
        <v>38</v>
      </c>
    </row>
    <row r="99" spans="1:79">
      <c r="A99" s="21">
        <v>70</v>
      </c>
      <c r="B99" s="82">
        <v>254634.17014</v>
      </c>
      <c r="C99" s="82">
        <v>4505678.18004</v>
      </c>
      <c r="D99" s="19">
        <v>0.32150000000000001</v>
      </c>
      <c r="E99" s="20">
        <v>0.30449999999999999</v>
      </c>
      <c r="F99" s="20">
        <v>0.307</v>
      </c>
      <c r="G99" s="20">
        <v>0.3145</v>
      </c>
      <c r="H99" s="20">
        <v>0.3075</v>
      </c>
      <c r="I99" s="20">
        <v>0.26850000000000002</v>
      </c>
      <c r="J99" s="20">
        <v>0.24299999999999999</v>
      </c>
      <c r="K99" s="20">
        <v>0.22600000000000001</v>
      </c>
      <c r="L99" s="20">
        <v>0.221</v>
      </c>
      <c r="M99" s="20">
        <v>0.16350000000000001</v>
      </c>
      <c r="N99" s="16">
        <v>0.20450000000000002</v>
      </c>
      <c r="O99" s="16">
        <v>0.16800000000000001</v>
      </c>
      <c r="P99" s="16">
        <v>0.17549999999999999</v>
      </c>
      <c r="Q99" s="16">
        <v>0.20850000000000002</v>
      </c>
      <c r="R99" s="16">
        <v>0.26900000000000002</v>
      </c>
      <c r="S99" s="16">
        <v>0.27850000000000003</v>
      </c>
      <c r="T99" s="24">
        <v>0.32400000000000001</v>
      </c>
      <c r="U99" s="24">
        <v>0.34</v>
      </c>
      <c r="V99" s="24">
        <v>0.35699999999999998</v>
      </c>
      <c r="W99" s="24">
        <v>0.40400000000000003</v>
      </c>
      <c r="X99" s="24">
        <v>0.34499999999999997</v>
      </c>
      <c r="Y99" s="24">
        <v>0.313</v>
      </c>
      <c r="Z99" s="23">
        <v>0.36599999999999999</v>
      </c>
      <c r="AA99" s="24">
        <v>0.35399999999999998</v>
      </c>
      <c r="AB99" s="24">
        <v>0.35699999999999998</v>
      </c>
      <c r="AC99" s="24">
        <v>0.35899999999999999</v>
      </c>
      <c r="AD99" s="24">
        <v>0.34399999999999997</v>
      </c>
      <c r="AE99" s="24">
        <v>0.28599999999999998</v>
      </c>
      <c r="AF99" s="24">
        <v>0.25600000000000001</v>
      </c>
      <c r="AG99" s="24">
        <v>0.311</v>
      </c>
      <c r="AH99" s="24">
        <v>0.182</v>
      </c>
      <c r="AI99" s="24">
        <v>0.222</v>
      </c>
      <c r="AJ99" s="24">
        <v>0.19</v>
      </c>
      <c r="AK99" s="24">
        <v>0.20300000000000001</v>
      </c>
      <c r="AL99" s="24">
        <v>0.38200000000000001</v>
      </c>
      <c r="AM99" s="24">
        <v>0.371</v>
      </c>
      <c r="AN99" s="40">
        <v>0.30299999999999999</v>
      </c>
      <c r="AO99" s="40">
        <v>0.216</v>
      </c>
      <c r="AP99" s="40">
        <v>0.27400000000000002</v>
      </c>
      <c r="AQ99" s="40">
        <v>0.3145</v>
      </c>
      <c r="AR99" s="40">
        <v>0.27600000000000002</v>
      </c>
      <c r="AS99" s="40">
        <v>0.25</v>
      </c>
      <c r="AT99" s="40">
        <v>0.25600000000000001</v>
      </c>
      <c r="AU99" s="40">
        <v>0.22</v>
      </c>
      <c r="AV99" s="40">
        <v>0.21</v>
      </c>
      <c r="AW99" s="40">
        <v>0.16900000000000001</v>
      </c>
      <c r="AX99" s="40">
        <v>0.187</v>
      </c>
      <c r="AY99" s="40">
        <v>0.157</v>
      </c>
      <c r="AZ99" s="40">
        <v>0.14399999999999999</v>
      </c>
      <c r="BA99" s="40">
        <v>0.23499999999999999</v>
      </c>
      <c r="BB99" s="49">
        <v>0.18149999999999999</v>
      </c>
      <c r="BC99" s="40">
        <v>0.248</v>
      </c>
      <c r="BD99" s="50">
        <v>0.28799999999999998</v>
      </c>
      <c r="BE99" s="23" t="s">
        <v>38</v>
      </c>
      <c r="BF99" s="23" t="s">
        <v>38</v>
      </c>
      <c r="BG99" s="40">
        <v>0.31900000000000001</v>
      </c>
      <c r="BH99" s="38">
        <v>0.29199999999999998</v>
      </c>
      <c r="BI99" s="38">
        <v>0.3135</v>
      </c>
      <c r="BJ99" s="38">
        <v>0.317</v>
      </c>
      <c r="BK99" s="38">
        <v>0.28849999999999998</v>
      </c>
      <c r="BL99" s="38">
        <v>0.28200000000000003</v>
      </c>
      <c r="BM99" s="38">
        <v>0.312</v>
      </c>
      <c r="BN99" s="23" t="s">
        <v>38</v>
      </c>
      <c r="BO99" s="40">
        <v>0.30049999999999999</v>
      </c>
      <c r="BP99" s="38">
        <v>0.29099999999999998</v>
      </c>
      <c r="BQ99" s="38">
        <v>0.22750000000000001</v>
      </c>
      <c r="BR99" s="41">
        <v>0.26550000000000001</v>
      </c>
      <c r="BS99" s="23" t="s">
        <v>38</v>
      </c>
      <c r="BT99" s="41">
        <v>0.20749999999999999</v>
      </c>
      <c r="BU99" s="42">
        <v>0.218</v>
      </c>
      <c r="BV99" s="41">
        <v>0.19950000000000001</v>
      </c>
      <c r="BW99" s="42">
        <v>0.23949999999999999</v>
      </c>
      <c r="BX99" s="42">
        <v>0.25650000000000001</v>
      </c>
      <c r="BY99" s="85">
        <f>(0.34+0.35)/2</f>
        <v>0.34499999999999997</v>
      </c>
      <c r="BZ99" s="85">
        <f>(0.315+0.318)/2</f>
        <v>0.3165</v>
      </c>
      <c r="CA99" s="87">
        <v>0.4365</v>
      </c>
    </row>
    <row r="100" spans="1:79">
      <c r="A100" s="21">
        <v>71</v>
      </c>
      <c r="B100" s="82">
        <v>254591.99662699999</v>
      </c>
      <c r="C100" s="82">
        <v>4505692.3642499996</v>
      </c>
      <c r="D100" s="19" t="s">
        <v>38</v>
      </c>
      <c r="E100" s="19" t="s">
        <v>38</v>
      </c>
      <c r="F100" s="19" t="s">
        <v>38</v>
      </c>
      <c r="G100" s="19" t="s">
        <v>38</v>
      </c>
      <c r="H100" s="19" t="s">
        <v>38</v>
      </c>
      <c r="I100" s="19" t="s">
        <v>38</v>
      </c>
      <c r="J100" s="19" t="s">
        <v>38</v>
      </c>
      <c r="K100" s="19" t="s">
        <v>38</v>
      </c>
      <c r="L100" s="19" t="s">
        <v>38</v>
      </c>
      <c r="M100" s="19" t="s">
        <v>38</v>
      </c>
      <c r="N100" s="23" t="s">
        <v>38</v>
      </c>
      <c r="O100" s="23" t="s">
        <v>38</v>
      </c>
      <c r="P100" s="23" t="s">
        <v>38</v>
      </c>
      <c r="Q100" s="23" t="s">
        <v>38</v>
      </c>
      <c r="R100" s="23" t="s">
        <v>38</v>
      </c>
      <c r="S100" s="23" t="s">
        <v>38</v>
      </c>
      <c r="T100" s="23" t="s">
        <v>38</v>
      </c>
      <c r="U100" s="23" t="s">
        <v>38</v>
      </c>
      <c r="V100" s="23" t="s">
        <v>38</v>
      </c>
      <c r="W100" s="23" t="s">
        <v>38</v>
      </c>
      <c r="X100" s="23" t="s">
        <v>38</v>
      </c>
      <c r="Y100" s="23" t="s">
        <v>38</v>
      </c>
      <c r="Z100" s="23" t="s">
        <v>38</v>
      </c>
      <c r="AA100" s="23" t="s">
        <v>38</v>
      </c>
      <c r="AB100" s="23" t="s">
        <v>38</v>
      </c>
      <c r="AC100" s="23" t="s">
        <v>38</v>
      </c>
      <c r="AD100" s="23" t="s">
        <v>38</v>
      </c>
      <c r="AE100" s="23" t="s">
        <v>38</v>
      </c>
      <c r="AF100" s="23" t="s">
        <v>38</v>
      </c>
      <c r="AG100" s="23" t="s">
        <v>38</v>
      </c>
      <c r="AH100" s="23" t="s">
        <v>38</v>
      </c>
      <c r="AI100" s="23" t="s">
        <v>38</v>
      </c>
      <c r="AJ100" s="23" t="s">
        <v>38</v>
      </c>
      <c r="AK100" s="23" t="s">
        <v>38</v>
      </c>
      <c r="AL100" s="23" t="s">
        <v>38</v>
      </c>
      <c r="AM100" s="23" t="s">
        <v>38</v>
      </c>
      <c r="AN100" s="23" t="s">
        <v>38</v>
      </c>
      <c r="AO100" s="23" t="s">
        <v>38</v>
      </c>
      <c r="AP100" s="23" t="s">
        <v>38</v>
      </c>
      <c r="AQ100" s="23" t="s">
        <v>38</v>
      </c>
      <c r="AR100" s="23" t="s">
        <v>38</v>
      </c>
      <c r="AS100" s="23" t="s">
        <v>38</v>
      </c>
      <c r="AT100" s="23" t="s">
        <v>38</v>
      </c>
      <c r="AU100" s="23" t="s">
        <v>38</v>
      </c>
      <c r="AV100" s="23" t="s">
        <v>38</v>
      </c>
      <c r="AW100" s="23" t="s">
        <v>38</v>
      </c>
      <c r="AX100" s="23" t="s">
        <v>38</v>
      </c>
      <c r="AY100" s="23" t="s">
        <v>38</v>
      </c>
      <c r="AZ100" s="23" t="s">
        <v>38</v>
      </c>
      <c r="BA100" s="23" t="s">
        <v>38</v>
      </c>
      <c r="BB100" s="23" t="s">
        <v>38</v>
      </c>
      <c r="BC100" s="23" t="s">
        <v>38</v>
      </c>
      <c r="BD100" s="23" t="s">
        <v>38</v>
      </c>
      <c r="BE100" s="23" t="s">
        <v>38</v>
      </c>
      <c r="BF100" s="23" t="s">
        <v>38</v>
      </c>
      <c r="BG100" s="23" t="s">
        <v>38</v>
      </c>
      <c r="BH100" s="23" t="s">
        <v>38</v>
      </c>
      <c r="BI100" s="23" t="s">
        <v>38</v>
      </c>
      <c r="BJ100" s="23" t="s">
        <v>38</v>
      </c>
      <c r="BK100" s="23" t="s">
        <v>38</v>
      </c>
      <c r="BL100" s="23" t="s">
        <v>38</v>
      </c>
      <c r="BM100" s="23" t="s">
        <v>38</v>
      </c>
      <c r="BN100" s="23" t="s">
        <v>38</v>
      </c>
      <c r="BO100" s="23" t="s">
        <v>38</v>
      </c>
      <c r="BP100" s="23" t="s">
        <v>38</v>
      </c>
      <c r="BQ100" s="23" t="s">
        <v>38</v>
      </c>
      <c r="BR100" s="23" t="s">
        <v>38</v>
      </c>
      <c r="BS100" s="23" t="s">
        <v>38</v>
      </c>
      <c r="BT100" s="23" t="s">
        <v>38</v>
      </c>
      <c r="BU100" s="23" t="s">
        <v>38</v>
      </c>
      <c r="BV100" s="23" t="s">
        <v>38</v>
      </c>
      <c r="BW100" s="23" t="s">
        <v>38</v>
      </c>
      <c r="BX100" s="23" t="s">
        <v>38</v>
      </c>
      <c r="BY100" s="69" t="s">
        <v>38</v>
      </c>
      <c r="BZ100" s="69" t="s">
        <v>38</v>
      </c>
      <c r="CA100" s="86" t="s">
        <v>38</v>
      </c>
    </row>
    <row r="101" spans="1:79">
      <c r="A101" s="21">
        <v>72</v>
      </c>
      <c r="B101" s="82">
        <v>254645.76749900001</v>
      </c>
      <c r="C101" s="82">
        <v>4505710.0379499998</v>
      </c>
      <c r="D101" s="19">
        <v>0.28849999999999998</v>
      </c>
      <c r="E101" s="20">
        <v>0.29499999999999998</v>
      </c>
      <c r="F101" s="20">
        <v>0.27700000000000002</v>
      </c>
      <c r="G101" s="20">
        <v>0.29649999999999999</v>
      </c>
      <c r="H101" s="20">
        <v>0.2465</v>
      </c>
      <c r="I101" s="20">
        <v>0.21299999999999999</v>
      </c>
      <c r="J101" s="20">
        <v>0.17599999999999999</v>
      </c>
      <c r="K101" s="20">
        <v>0.122</v>
      </c>
      <c r="L101" s="20">
        <v>0.17499999999999999</v>
      </c>
      <c r="M101" s="20">
        <v>0.107</v>
      </c>
      <c r="N101" s="16">
        <v>0.16650000000000001</v>
      </c>
      <c r="O101" s="16">
        <v>0.1255</v>
      </c>
      <c r="P101" s="16">
        <v>0.129</v>
      </c>
      <c r="Q101" s="16">
        <v>0.2165</v>
      </c>
      <c r="R101" s="16">
        <v>0.23599999999999999</v>
      </c>
      <c r="S101" s="16">
        <v>0.2185</v>
      </c>
      <c r="T101" s="24">
        <v>0.27200000000000002</v>
      </c>
      <c r="U101" s="24">
        <v>0.313</v>
      </c>
      <c r="V101" s="24">
        <v>0.313</v>
      </c>
      <c r="W101" s="24">
        <v>0.34599999999999997</v>
      </c>
      <c r="X101" s="24">
        <v>0.28199999999999997</v>
      </c>
      <c r="Y101" s="24">
        <v>0.23799999999999999</v>
      </c>
      <c r="Z101" s="23">
        <v>0.29399999999999998</v>
      </c>
      <c r="AA101" s="24">
        <v>0.28799999999999998</v>
      </c>
      <c r="AB101" s="24">
        <v>0.32400000000000001</v>
      </c>
      <c r="AC101" s="24">
        <v>0.30099999999999999</v>
      </c>
      <c r="AD101" s="24">
        <v>0.3</v>
      </c>
      <c r="AE101" s="24">
        <v>0.24399999999999999</v>
      </c>
      <c r="AF101" s="24">
        <v>0.19400000000000001</v>
      </c>
      <c r="AG101" s="24">
        <v>0.17</v>
      </c>
      <c r="AH101" s="24">
        <v>0.14599999999999999</v>
      </c>
      <c r="AI101" s="24">
        <v>0.153</v>
      </c>
      <c r="AJ101" s="24">
        <v>0.154</v>
      </c>
      <c r="AK101" s="24">
        <v>0.14399999999999999</v>
      </c>
      <c r="AL101" s="24">
        <v>0.33700000000000002</v>
      </c>
      <c r="AM101" s="24">
        <v>0.307</v>
      </c>
      <c r="AN101" s="40">
        <v>0.20499999999999999</v>
      </c>
      <c r="AO101" s="40">
        <v>0.20499999999999999</v>
      </c>
      <c r="AP101" s="40">
        <v>0.26300000000000001</v>
      </c>
      <c r="AQ101" s="40">
        <v>0.255</v>
      </c>
      <c r="AR101" s="40">
        <v>0.22600000000000001</v>
      </c>
      <c r="AS101" s="40">
        <v>0.20799999999999999</v>
      </c>
      <c r="AT101" s="40">
        <v>0.19500000000000001</v>
      </c>
      <c r="AU101" s="40">
        <v>0.16700000000000001</v>
      </c>
      <c r="AV101" s="40">
        <v>0.13800000000000001</v>
      </c>
      <c r="AW101" s="40">
        <v>0.13600000000000001</v>
      </c>
      <c r="AX101" s="40">
        <v>0.13300000000000001</v>
      </c>
      <c r="AY101" s="40" t="s">
        <v>38</v>
      </c>
      <c r="AZ101" s="40">
        <v>9.8000000000000004E-2</v>
      </c>
      <c r="BA101" s="40">
        <v>0.16800000000000001</v>
      </c>
      <c r="BB101" s="49">
        <v>0.17649999999999999</v>
      </c>
      <c r="BC101" s="40">
        <v>0.2485</v>
      </c>
      <c r="BD101" s="50">
        <v>0.26550000000000001</v>
      </c>
      <c r="BE101" s="23" t="s">
        <v>38</v>
      </c>
      <c r="BF101" s="23" t="s">
        <v>38</v>
      </c>
      <c r="BG101" s="40">
        <v>0.28249999999999997</v>
      </c>
      <c r="BH101" s="38">
        <v>0.27150000000000002</v>
      </c>
      <c r="BI101" s="38">
        <v>0.27700000000000002</v>
      </c>
      <c r="BJ101" s="38">
        <v>0.28899999999999998</v>
      </c>
      <c r="BK101" s="38">
        <v>0.27350000000000002</v>
      </c>
      <c r="BL101" s="38">
        <v>0.27250000000000002</v>
      </c>
      <c r="BM101" s="38">
        <v>0.27750000000000002</v>
      </c>
      <c r="BN101" s="23" t="s">
        <v>38</v>
      </c>
      <c r="BO101" s="40">
        <v>0.27600000000000002</v>
      </c>
      <c r="BP101" s="38">
        <v>0.26050000000000001</v>
      </c>
      <c r="BQ101" s="38">
        <v>0.1895</v>
      </c>
      <c r="BR101" s="41">
        <v>0.19</v>
      </c>
      <c r="BS101" s="41" t="s">
        <v>38</v>
      </c>
      <c r="BT101" s="41">
        <v>0.16250000000000001</v>
      </c>
      <c r="BU101" s="42">
        <v>0.14499999999999999</v>
      </c>
      <c r="BV101" s="41">
        <v>0.14000000000000001</v>
      </c>
      <c r="BW101" s="42">
        <v>0.17349999999999999</v>
      </c>
      <c r="BX101" s="23" t="s">
        <v>38</v>
      </c>
      <c r="BY101" s="85">
        <f>(0.301+0.309)/2</f>
        <v>0.30499999999999999</v>
      </c>
      <c r="BZ101" s="85">
        <f>(0.284+0.289)/2</f>
        <v>0.28649999999999998</v>
      </c>
      <c r="CA101" s="87">
        <v>0.40200000000000002</v>
      </c>
    </row>
    <row r="102" spans="1:79">
      <c r="A102" s="21">
        <v>73</v>
      </c>
      <c r="B102" s="82">
        <v>254636.46085900001</v>
      </c>
      <c r="C102" s="82">
        <v>4505694.7106600003</v>
      </c>
      <c r="D102" s="19">
        <v>0.28849999999999998</v>
      </c>
      <c r="E102" s="20">
        <v>0.25750000000000001</v>
      </c>
      <c r="F102" s="20">
        <v>0.23799999999999999</v>
      </c>
      <c r="G102" s="20">
        <v>0.24049999999999999</v>
      </c>
      <c r="H102" s="20">
        <v>0.23699999999999999</v>
      </c>
      <c r="I102" s="20">
        <v>0.19700000000000001</v>
      </c>
      <c r="J102" s="20">
        <v>0.16299999999999998</v>
      </c>
      <c r="K102" s="20">
        <v>0.1275</v>
      </c>
      <c r="L102" s="20">
        <v>0.16849999999999998</v>
      </c>
      <c r="M102" s="20">
        <v>0.1055</v>
      </c>
      <c r="N102" s="16">
        <v>0.14200000000000002</v>
      </c>
      <c r="O102" s="16">
        <v>0.1295</v>
      </c>
      <c r="P102" s="16">
        <v>0.14599999999999999</v>
      </c>
      <c r="Q102" s="16">
        <v>0.17399999999999999</v>
      </c>
      <c r="R102" s="16">
        <v>0.17099999999999999</v>
      </c>
      <c r="S102" s="16">
        <v>0.21099999999999999</v>
      </c>
      <c r="T102" s="24">
        <v>0.18099999999999999</v>
      </c>
      <c r="U102" s="24">
        <v>0.24299999999999999</v>
      </c>
      <c r="V102" s="24">
        <v>0.27700000000000002</v>
      </c>
      <c r="W102" s="24">
        <v>0.23</v>
      </c>
      <c r="X102" s="24">
        <v>0.246</v>
      </c>
      <c r="Y102" s="24">
        <v>0.23899999999999999</v>
      </c>
      <c r="Z102" s="23">
        <v>0.26200000000000001</v>
      </c>
      <c r="AA102" s="24">
        <v>0.27900000000000003</v>
      </c>
      <c r="AB102" s="24">
        <v>0.28999999999999998</v>
      </c>
      <c r="AC102" s="24">
        <v>0.29599999999999999</v>
      </c>
      <c r="AD102" s="24">
        <v>0.24299999999999999</v>
      </c>
      <c r="AE102" s="24">
        <v>0.21099999999999999</v>
      </c>
      <c r="AF102" s="24">
        <v>0.19500000000000001</v>
      </c>
      <c r="AG102" s="24">
        <v>0.186</v>
      </c>
      <c r="AH102" s="24">
        <v>0.14199999999999999</v>
      </c>
      <c r="AI102" s="24">
        <v>0.154</v>
      </c>
      <c r="AJ102" s="24">
        <v>0.14299999999999999</v>
      </c>
      <c r="AK102" s="24">
        <v>0.14699999999999999</v>
      </c>
      <c r="AL102" s="24">
        <v>0.255</v>
      </c>
      <c r="AM102" s="24">
        <v>0.249</v>
      </c>
      <c r="AN102" s="40">
        <v>0.26400000000000001</v>
      </c>
      <c r="AO102" s="40">
        <v>0.156</v>
      </c>
      <c r="AP102" s="40">
        <v>0.223</v>
      </c>
      <c r="AQ102" s="40">
        <v>0.219</v>
      </c>
      <c r="AR102" s="40">
        <v>0.19</v>
      </c>
      <c r="AS102" s="40">
        <v>0.189</v>
      </c>
      <c r="AT102" s="40">
        <v>0.18</v>
      </c>
      <c r="AU102" s="40">
        <v>0.16200000000000001</v>
      </c>
      <c r="AV102" s="40">
        <v>0.14299999999999999</v>
      </c>
      <c r="AW102" s="40">
        <v>0.13500000000000001</v>
      </c>
      <c r="AX102" s="40">
        <v>0.128</v>
      </c>
      <c r="AY102" s="40">
        <v>0.24199999999999999</v>
      </c>
      <c r="AZ102" s="40">
        <v>0.22500000000000001</v>
      </c>
      <c r="BA102" s="40">
        <v>0.23100000000000001</v>
      </c>
      <c r="BB102" s="49">
        <v>0.1105</v>
      </c>
      <c r="BC102" s="40">
        <v>0.17249999999999999</v>
      </c>
      <c r="BD102" s="50">
        <v>0.216</v>
      </c>
      <c r="BE102" s="23" t="s">
        <v>38</v>
      </c>
      <c r="BF102" s="23" t="s">
        <v>38</v>
      </c>
      <c r="BG102" s="40">
        <v>0.23399999999999999</v>
      </c>
      <c r="BH102" s="38">
        <v>0.21200000000000002</v>
      </c>
      <c r="BI102" s="38">
        <v>0.20899999999999999</v>
      </c>
      <c r="BJ102" s="38">
        <v>0.19900000000000001</v>
      </c>
      <c r="BK102" s="38">
        <v>0.2495</v>
      </c>
      <c r="BL102" s="38">
        <v>0.20749999999999999</v>
      </c>
      <c r="BM102" s="38">
        <v>0.2445</v>
      </c>
      <c r="BN102" s="23" t="s">
        <v>38</v>
      </c>
      <c r="BO102" s="40">
        <v>0.24299999999999999</v>
      </c>
      <c r="BP102" s="38">
        <v>0.22750000000000001</v>
      </c>
      <c r="BQ102" s="38">
        <v>0.154</v>
      </c>
      <c r="BR102" s="41">
        <v>0.17899999999999999</v>
      </c>
      <c r="BS102" s="41" t="s">
        <v>38</v>
      </c>
      <c r="BT102" s="41">
        <v>0.156</v>
      </c>
      <c r="BU102" s="42">
        <v>0.16550000000000001</v>
      </c>
      <c r="BV102" s="41">
        <v>0.14149999999999999</v>
      </c>
      <c r="BW102" s="42">
        <v>0.20549999999999999</v>
      </c>
      <c r="BX102" s="42">
        <v>0.189</v>
      </c>
      <c r="BY102" s="85">
        <f>(0.29+0.31)/2</f>
        <v>0.3</v>
      </c>
      <c r="BZ102" s="85">
        <f>(0.274+0.293)/2</f>
        <v>0.28349999999999997</v>
      </c>
      <c r="CA102" s="87">
        <v>0.3755</v>
      </c>
    </row>
    <row r="103" spans="1:79">
      <c r="A103" s="21">
        <v>74</v>
      </c>
      <c r="B103" s="82">
        <v>254459.02979100001</v>
      </c>
      <c r="C103" s="82">
        <v>4505693.6283600004</v>
      </c>
      <c r="D103" s="19">
        <v>0.214</v>
      </c>
      <c r="E103" s="20">
        <v>0.25800000000000001</v>
      </c>
      <c r="F103" s="20">
        <v>0.254</v>
      </c>
      <c r="G103" s="20">
        <v>0.27400000000000002</v>
      </c>
      <c r="H103" s="20">
        <v>0.252</v>
      </c>
      <c r="I103" s="20">
        <v>0.19550000000000001</v>
      </c>
      <c r="J103" s="20">
        <v>0.156</v>
      </c>
      <c r="K103" s="20">
        <v>0.128</v>
      </c>
      <c r="L103" s="20" t="s">
        <v>38</v>
      </c>
      <c r="M103" s="20" t="s">
        <v>38</v>
      </c>
      <c r="N103" s="16" t="s">
        <v>38</v>
      </c>
      <c r="O103" s="16" t="s">
        <v>38</v>
      </c>
      <c r="P103" s="16" t="s">
        <v>38</v>
      </c>
      <c r="Q103" s="16" t="s">
        <v>38</v>
      </c>
      <c r="R103" s="16" t="s">
        <v>38</v>
      </c>
      <c r="S103" s="16" t="s">
        <v>38</v>
      </c>
      <c r="T103" s="23">
        <v>0.19600000000000001</v>
      </c>
      <c r="U103" s="23">
        <v>0.123</v>
      </c>
      <c r="V103" s="23">
        <v>0.112</v>
      </c>
      <c r="W103" s="23">
        <v>0.129</v>
      </c>
      <c r="X103" s="23">
        <v>0.104</v>
      </c>
      <c r="Y103" s="23">
        <v>0.08</v>
      </c>
      <c r="Z103" s="23">
        <v>0.112</v>
      </c>
      <c r="AA103" s="23">
        <v>0.112</v>
      </c>
      <c r="AB103" s="23" t="s">
        <v>38</v>
      </c>
      <c r="AC103" s="24">
        <v>0.11899999999999999</v>
      </c>
      <c r="AD103" s="24">
        <v>0.113</v>
      </c>
      <c r="AE103" s="24">
        <v>0.104</v>
      </c>
      <c r="AF103" s="24">
        <v>5.6000000000000001E-2</v>
      </c>
      <c r="AG103" s="24">
        <v>6.5000000000000002E-2</v>
      </c>
      <c r="AH103" s="24">
        <v>6.7000000000000004E-2</v>
      </c>
      <c r="AI103" s="24">
        <v>6.2E-2</v>
      </c>
      <c r="AJ103" s="24">
        <v>7.9000000000000001E-2</v>
      </c>
      <c r="AK103" s="24">
        <v>6.4000000000000001E-2</v>
      </c>
      <c r="AL103" s="24">
        <v>0.17199999999999999</v>
      </c>
      <c r="AM103" s="24">
        <v>0.17299999999999999</v>
      </c>
      <c r="AN103" s="40">
        <v>0.125</v>
      </c>
      <c r="AO103" s="40" t="s">
        <v>38</v>
      </c>
      <c r="AP103" s="40" t="s">
        <v>38</v>
      </c>
      <c r="AQ103" s="40">
        <v>7.8E-2</v>
      </c>
      <c r="AR103" s="40" t="s">
        <v>38</v>
      </c>
      <c r="AS103" s="40">
        <v>0.08</v>
      </c>
      <c r="AT103" s="40">
        <v>0.08</v>
      </c>
      <c r="AU103" s="40">
        <v>3.5999999999999997E-2</v>
      </c>
      <c r="AV103" s="40">
        <v>6.0999999999999999E-2</v>
      </c>
      <c r="AW103" s="40">
        <v>3.5000000000000003E-2</v>
      </c>
      <c r="AX103" s="40" t="s">
        <v>38</v>
      </c>
      <c r="AY103" s="40">
        <v>0.26300000000000001</v>
      </c>
      <c r="AZ103" s="40">
        <v>0.214</v>
      </c>
      <c r="BA103" s="40">
        <v>0.24399999999999999</v>
      </c>
      <c r="BB103" s="49">
        <v>0.17399999999999999</v>
      </c>
      <c r="BC103" s="40">
        <v>0.2155</v>
      </c>
      <c r="BD103" s="50">
        <v>0.27700000000000002</v>
      </c>
      <c r="BE103" s="23" t="s">
        <v>38</v>
      </c>
      <c r="BF103" s="50">
        <v>0.1895</v>
      </c>
      <c r="BG103" s="40">
        <v>0.26100000000000001</v>
      </c>
      <c r="BH103" s="38">
        <v>0.2535</v>
      </c>
      <c r="BI103" s="38">
        <v>0.26400000000000001</v>
      </c>
      <c r="BJ103" s="38">
        <v>0.2495</v>
      </c>
      <c r="BK103" s="38">
        <v>0.25850000000000001</v>
      </c>
      <c r="BL103" s="38">
        <v>0.23599999999999999</v>
      </c>
      <c r="BM103" s="38">
        <v>0.252</v>
      </c>
      <c r="BN103" s="23" t="s">
        <v>38</v>
      </c>
      <c r="BO103" s="40">
        <v>0.24149999999999999</v>
      </c>
      <c r="BP103" s="38">
        <v>0.247</v>
      </c>
      <c r="BQ103" s="38">
        <v>0.17349999999999999</v>
      </c>
      <c r="BR103" s="41">
        <v>0.20899999999999999</v>
      </c>
      <c r="BS103" s="41">
        <v>0.17399999999999999</v>
      </c>
      <c r="BT103" s="41">
        <v>0.158</v>
      </c>
      <c r="BU103" s="42">
        <v>0.20150000000000001</v>
      </c>
      <c r="BV103" s="41">
        <v>0.16899999999999998</v>
      </c>
      <c r="BW103" s="42" t="s">
        <v>38</v>
      </c>
      <c r="BX103" s="42" t="s">
        <v>38</v>
      </c>
      <c r="BY103" s="85" t="s">
        <v>38</v>
      </c>
      <c r="BZ103" s="85">
        <f>(0.383+0.381)/2</f>
        <v>0.38200000000000001</v>
      </c>
      <c r="CA103" s="87">
        <v>0.29099999999999998</v>
      </c>
    </row>
    <row r="104" spans="1:79">
      <c r="A104" s="21" t="s">
        <v>35</v>
      </c>
      <c r="B104" s="82">
        <v>254460.35351799999</v>
      </c>
      <c r="C104" s="82">
        <v>4505694.28632</v>
      </c>
      <c r="D104" s="19" t="s">
        <v>38</v>
      </c>
      <c r="E104" s="20">
        <v>0.245</v>
      </c>
      <c r="F104" s="20">
        <v>0.2475</v>
      </c>
      <c r="G104" s="20">
        <v>0.26750000000000002</v>
      </c>
      <c r="H104" s="20">
        <v>0.254</v>
      </c>
      <c r="I104" s="20">
        <v>0.2215</v>
      </c>
      <c r="J104" s="20">
        <v>0.17599999999999999</v>
      </c>
      <c r="K104" s="20">
        <v>0.1275</v>
      </c>
      <c r="L104" s="20">
        <v>0.248</v>
      </c>
      <c r="M104" s="20">
        <v>0.124</v>
      </c>
      <c r="N104" s="16">
        <v>0.223</v>
      </c>
      <c r="O104" s="16">
        <v>0.1295</v>
      </c>
      <c r="P104" s="16">
        <v>0.157</v>
      </c>
      <c r="Q104" s="16">
        <v>0.221</v>
      </c>
      <c r="R104" s="16" t="s">
        <v>38</v>
      </c>
      <c r="S104" s="16">
        <v>0.23599999999999999</v>
      </c>
      <c r="T104" s="24">
        <v>0.28499999999999998</v>
      </c>
      <c r="U104" s="24">
        <v>0.27800000000000002</v>
      </c>
      <c r="V104" s="24">
        <v>0.28799999999999998</v>
      </c>
      <c r="W104" s="24">
        <v>0.32500000000000001</v>
      </c>
      <c r="X104" s="24">
        <v>0.30299999999999999</v>
      </c>
      <c r="Y104" s="24">
        <v>0.23300000000000001</v>
      </c>
      <c r="Z104" s="23">
        <v>0.27800000000000002</v>
      </c>
      <c r="AA104" s="24">
        <v>0.28199999999999997</v>
      </c>
      <c r="AB104" s="24">
        <v>0.31</v>
      </c>
      <c r="AC104" s="24">
        <v>0.30499999999999999</v>
      </c>
      <c r="AD104" s="24">
        <v>0.254</v>
      </c>
      <c r="AE104" s="24" t="s">
        <v>38</v>
      </c>
      <c r="AF104" s="24">
        <v>0.20399999999999999</v>
      </c>
      <c r="AG104" s="24">
        <v>0.16800000000000001</v>
      </c>
      <c r="AH104" s="24">
        <v>0.184</v>
      </c>
      <c r="AI104" s="24">
        <v>0.19400000000000001</v>
      </c>
      <c r="AJ104" s="24" t="s">
        <v>38</v>
      </c>
      <c r="AK104" s="24">
        <v>0.152</v>
      </c>
      <c r="AL104" s="24">
        <v>0.313</v>
      </c>
      <c r="AM104" s="24">
        <v>0.34599999999999997</v>
      </c>
      <c r="AN104" s="40">
        <v>0.23</v>
      </c>
      <c r="AO104" s="40" t="s">
        <v>38</v>
      </c>
      <c r="AP104" s="40" t="s">
        <v>38</v>
      </c>
      <c r="AQ104" s="40">
        <v>0.222</v>
      </c>
      <c r="AR104" s="40" t="s">
        <v>38</v>
      </c>
      <c r="AS104" s="40">
        <v>0.191</v>
      </c>
      <c r="AT104" s="40" t="s">
        <v>38</v>
      </c>
      <c r="AU104" s="40">
        <v>0.16600000000000001</v>
      </c>
      <c r="AV104" s="40" t="s">
        <v>38</v>
      </c>
      <c r="AW104" s="40" t="s">
        <v>38</v>
      </c>
      <c r="AX104" s="40" t="s">
        <v>38</v>
      </c>
      <c r="AY104" s="40">
        <v>0.24199999999999999</v>
      </c>
      <c r="AZ104" s="40">
        <v>0.22500000000000001</v>
      </c>
      <c r="BA104" s="40">
        <v>0.24399999999999999</v>
      </c>
      <c r="BB104" s="49">
        <v>0.184</v>
      </c>
      <c r="BC104" s="40">
        <v>0.24099999999999999</v>
      </c>
      <c r="BD104" s="50">
        <v>0.2515</v>
      </c>
      <c r="BE104" s="23" t="s">
        <v>38</v>
      </c>
      <c r="BF104" s="50">
        <v>0.22900000000000001</v>
      </c>
      <c r="BG104" s="40">
        <v>0.22550000000000001</v>
      </c>
      <c r="BH104" s="45" t="s">
        <v>38</v>
      </c>
      <c r="BI104" s="38">
        <v>0.26200000000000001</v>
      </c>
      <c r="BJ104" s="38">
        <v>0.2545</v>
      </c>
      <c r="BK104" s="38">
        <v>0.27500000000000002</v>
      </c>
      <c r="BL104" s="38">
        <v>0.252</v>
      </c>
      <c r="BM104" s="38">
        <v>0.26750000000000002</v>
      </c>
      <c r="BN104" s="45" t="s">
        <v>38</v>
      </c>
      <c r="BO104" s="45" t="s">
        <v>38</v>
      </c>
      <c r="BP104" s="45" t="s">
        <v>38</v>
      </c>
      <c r="BQ104" s="38">
        <v>0.19700000000000001</v>
      </c>
      <c r="BR104" s="41">
        <v>0.20899999999999999</v>
      </c>
      <c r="BS104" s="41">
        <v>0.19355</v>
      </c>
      <c r="BT104" s="41">
        <v>0.18049999999999999</v>
      </c>
      <c r="BU104" s="42">
        <v>0.1865</v>
      </c>
      <c r="BV104" s="41" t="s">
        <v>38</v>
      </c>
      <c r="BW104" s="42">
        <v>0.29649999999999999</v>
      </c>
      <c r="BX104" s="42" t="s">
        <v>38</v>
      </c>
      <c r="BY104" s="85">
        <f>(0.313+0.305)/2</f>
        <v>0.309</v>
      </c>
      <c r="BZ104" s="85">
        <f>(0.421+0.356)/2</f>
        <v>0.38849999999999996</v>
      </c>
      <c r="CA104" s="87">
        <v>0.29349999999999998</v>
      </c>
    </row>
    <row r="105" spans="1:79">
      <c r="A105" s="21" t="s">
        <v>34</v>
      </c>
      <c r="B105" s="82">
        <v>254459.39995799999</v>
      </c>
      <c r="C105" s="82">
        <v>4505693.0609900001</v>
      </c>
      <c r="D105" s="19">
        <v>0.16300000000000001</v>
      </c>
      <c r="E105" s="20">
        <v>0.14699999999999999</v>
      </c>
      <c r="F105" s="20">
        <v>0.16600000000000001</v>
      </c>
      <c r="G105" s="20">
        <v>0.17949999999999999</v>
      </c>
      <c r="H105" s="20">
        <v>0.16899999999999998</v>
      </c>
      <c r="I105" s="20">
        <v>0.127</v>
      </c>
      <c r="J105" s="20">
        <v>9.9000000000000005E-2</v>
      </c>
      <c r="K105" s="20">
        <v>7.0000000000000007E-2</v>
      </c>
      <c r="L105" s="20">
        <v>0.1235</v>
      </c>
      <c r="M105" s="20">
        <v>5.6000000000000001E-2</v>
      </c>
      <c r="N105" s="16">
        <v>0.17949999999999999</v>
      </c>
      <c r="O105" s="24" t="s">
        <v>38</v>
      </c>
      <c r="P105" s="24" t="s">
        <v>38</v>
      </c>
      <c r="Q105" s="16">
        <v>0.13200000000000001</v>
      </c>
      <c r="R105" s="16" t="s">
        <v>38</v>
      </c>
      <c r="S105" s="16" t="s">
        <v>38</v>
      </c>
      <c r="T105" s="23" t="s">
        <v>38</v>
      </c>
      <c r="U105" s="24" t="s">
        <v>38</v>
      </c>
      <c r="V105" s="23" t="s">
        <v>38</v>
      </c>
      <c r="W105" s="23" t="s">
        <v>38</v>
      </c>
      <c r="X105" s="23" t="s">
        <v>38</v>
      </c>
      <c r="Y105" s="23" t="s">
        <v>38</v>
      </c>
      <c r="Z105" s="23" t="s">
        <v>38</v>
      </c>
      <c r="AA105" s="23" t="s">
        <v>38</v>
      </c>
      <c r="AB105" s="23" t="s">
        <v>38</v>
      </c>
      <c r="AC105" s="24" t="s">
        <v>38</v>
      </c>
      <c r="AD105" s="24" t="s">
        <v>38</v>
      </c>
      <c r="AE105" s="24" t="s">
        <v>38</v>
      </c>
      <c r="AF105" s="24" t="s">
        <v>38</v>
      </c>
      <c r="AG105" s="24" t="s">
        <v>38</v>
      </c>
      <c r="AH105" s="24" t="s">
        <v>38</v>
      </c>
      <c r="AI105" s="24" t="s">
        <v>38</v>
      </c>
      <c r="AJ105" s="24" t="s">
        <v>38</v>
      </c>
      <c r="AK105" s="24" t="s">
        <v>38</v>
      </c>
      <c r="AL105" s="24" t="s">
        <v>38</v>
      </c>
      <c r="AM105" s="24" t="s">
        <v>38</v>
      </c>
      <c r="AN105" s="40" t="s">
        <v>38</v>
      </c>
      <c r="AO105" s="40" t="s">
        <v>38</v>
      </c>
      <c r="AP105" s="40" t="s">
        <v>38</v>
      </c>
      <c r="AQ105" s="40" t="s">
        <v>38</v>
      </c>
      <c r="AR105" s="40" t="s">
        <v>38</v>
      </c>
      <c r="AS105" s="40" t="s">
        <v>38</v>
      </c>
      <c r="AT105" s="40" t="s">
        <v>38</v>
      </c>
      <c r="AU105" s="40" t="s">
        <v>38</v>
      </c>
      <c r="AV105" s="40" t="s">
        <v>38</v>
      </c>
      <c r="AW105" s="40" t="s">
        <v>38</v>
      </c>
      <c r="AX105" s="40" t="s">
        <v>38</v>
      </c>
      <c r="AY105" s="40" t="s">
        <v>38</v>
      </c>
      <c r="AZ105" s="40" t="s">
        <v>38</v>
      </c>
      <c r="BA105" s="40">
        <v>0.17199999999999999</v>
      </c>
      <c r="BB105" s="49" t="s">
        <v>38</v>
      </c>
      <c r="BC105" s="40">
        <v>0.16899999999999998</v>
      </c>
      <c r="BD105" s="50">
        <v>0.191</v>
      </c>
      <c r="BE105" s="23" t="s">
        <v>38</v>
      </c>
      <c r="BF105" s="50">
        <v>0.10050000000000001</v>
      </c>
      <c r="BG105" s="40">
        <v>0.19850000000000001</v>
      </c>
      <c r="BH105" s="45" t="s">
        <v>38</v>
      </c>
      <c r="BI105" s="45" t="s">
        <v>38</v>
      </c>
      <c r="BJ105" s="45" t="s">
        <v>38</v>
      </c>
      <c r="BK105" s="45" t="s">
        <v>38</v>
      </c>
      <c r="BL105" s="45" t="s">
        <v>38</v>
      </c>
      <c r="BM105" s="45" t="s">
        <v>38</v>
      </c>
      <c r="BN105" s="45" t="s">
        <v>38</v>
      </c>
      <c r="BO105" s="45" t="s">
        <v>38</v>
      </c>
      <c r="BP105" s="45" t="s">
        <v>38</v>
      </c>
      <c r="BQ105" s="38" t="s">
        <v>38</v>
      </c>
      <c r="BR105" s="41">
        <v>0.16350000000000001</v>
      </c>
      <c r="BS105" s="41" t="s">
        <v>38</v>
      </c>
      <c r="BT105" s="41">
        <v>9.8500000000000004E-2</v>
      </c>
      <c r="BU105" s="42">
        <v>0.13900000000000001</v>
      </c>
      <c r="BV105" s="41" t="s">
        <v>38</v>
      </c>
      <c r="BW105" s="41" t="s">
        <v>38</v>
      </c>
      <c r="BX105" s="41" t="s">
        <v>38</v>
      </c>
      <c r="BY105" s="85" t="s">
        <v>38</v>
      </c>
      <c r="BZ105" s="85">
        <f>(0.238+0.259)/2</f>
        <v>0.2485</v>
      </c>
      <c r="CA105" s="87" t="s">
        <v>38</v>
      </c>
    </row>
    <row r="106" spans="1:79">
      <c r="A106" s="21" t="s">
        <v>36</v>
      </c>
      <c r="B106" s="82">
        <v>254457.54797300001</v>
      </c>
      <c r="C106" s="82">
        <v>4505693.1189799998</v>
      </c>
      <c r="D106" s="19">
        <v>0.27900000000000003</v>
      </c>
      <c r="E106" s="20">
        <v>0.2485</v>
      </c>
      <c r="F106" s="20">
        <v>0.24249999999999999</v>
      </c>
      <c r="G106" s="20">
        <v>0.26650000000000001</v>
      </c>
      <c r="H106" s="20">
        <v>0.24</v>
      </c>
      <c r="I106" s="20">
        <v>0.17349999999999999</v>
      </c>
      <c r="J106" s="20">
        <v>0.14799999999999999</v>
      </c>
      <c r="K106" s="20">
        <v>0.127</v>
      </c>
      <c r="L106" s="20">
        <v>0.21199999999999999</v>
      </c>
      <c r="M106" s="20">
        <v>0.114</v>
      </c>
      <c r="N106" s="16">
        <v>0.185</v>
      </c>
      <c r="O106" s="16">
        <v>0.126</v>
      </c>
      <c r="P106" s="16" t="s">
        <v>38</v>
      </c>
      <c r="Q106" s="16" t="s">
        <v>38</v>
      </c>
      <c r="R106" s="16" t="s">
        <v>38</v>
      </c>
      <c r="S106" s="16" t="s">
        <v>38</v>
      </c>
      <c r="T106" s="24">
        <v>0.24399999999999999</v>
      </c>
      <c r="U106" s="24">
        <v>0.32</v>
      </c>
      <c r="V106" s="24">
        <v>0.3</v>
      </c>
      <c r="W106" s="24">
        <v>0.33400000000000002</v>
      </c>
      <c r="X106" s="24">
        <v>0.27400000000000002</v>
      </c>
      <c r="Y106" s="24">
        <v>0.248</v>
      </c>
      <c r="Z106" s="23">
        <v>0.28100000000000003</v>
      </c>
      <c r="AA106" s="24">
        <v>0.28699999999999998</v>
      </c>
      <c r="AB106" s="24">
        <v>0.312</v>
      </c>
      <c r="AC106" s="24">
        <v>0.28000000000000003</v>
      </c>
      <c r="AD106" s="24">
        <v>0.23</v>
      </c>
      <c r="AE106" s="24" t="s">
        <v>38</v>
      </c>
      <c r="AF106" s="24">
        <v>0.19500000000000001</v>
      </c>
      <c r="AG106" s="24">
        <v>0.24099999999999999</v>
      </c>
      <c r="AH106" s="24">
        <v>0.16</v>
      </c>
      <c r="AI106" s="24">
        <v>0.18</v>
      </c>
      <c r="AJ106" s="24" t="s">
        <v>38</v>
      </c>
      <c r="AK106" s="24">
        <v>0.158</v>
      </c>
      <c r="AL106" s="24">
        <v>0.35299999999999998</v>
      </c>
      <c r="AM106" s="24" t="s">
        <v>38</v>
      </c>
      <c r="AN106" s="40">
        <v>0.23599999999999999</v>
      </c>
      <c r="AO106" s="40" t="s">
        <v>38</v>
      </c>
      <c r="AP106" s="40" t="s">
        <v>38</v>
      </c>
      <c r="AQ106" s="40">
        <v>0.20200000000000001</v>
      </c>
      <c r="AR106" s="40" t="s">
        <v>38</v>
      </c>
      <c r="AS106" s="40">
        <v>0.17499999999999999</v>
      </c>
      <c r="AT106" s="40" t="s">
        <v>38</v>
      </c>
      <c r="AU106" s="40">
        <v>0.14199999999999999</v>
      </c>
      <c r="AV106" s="40" t="s">
        <v>38</v>
      </c>
      <c r="AW106" s="40" t="s">
        <v>38</v>
      </c>
      <c r="AX106" s="40" t="s">
        <v>38</v>
      </c>
      <c r="AY106" s="40">
        <v>0.26300000000000001</v>
      </c>
      <c r="AZ106" s="40">
        <v>0.2135</v>
      </c>
      <c r="BA106" s="40">
        <v>0.2195</v>
      </c>
      <c r="BB106" s="49">
        <v>0.1845</v>
      </c>
      <c r="BC106" s="40">
        <v>0.24049999999999999</v>
      </c>
      <c r="BD106" s="50">
        <v>0.26200000000000001</v>
      </c>
      <c r="BE106" s="23" t="s">
        <v>38</v>
      </c>
      <c r="BF106" s="50">
        <v>0.183</v>
      </c>
      <c r="BG106" s="40">
        <v>0.27750000000000002</v>
      </c>
      <c r="BH106" s="45" t="s">
        <v>38</v>
      </c>
      <c r="BI106" s="38">
        <v>0.26400000000000001</v>
      </c>
      <c r="BJ106" s="38">
        <v>0.27</v>
      </c>
      <c r="BK106" s="38">
        <v>0.26050000000000001</v>
      </c>
      <c r="BL106" s="38">
        <v>0.251</v>
      </c>
      <c r="BM106" s="38">
        <v>0.26150000000000001</v>
      </c>
      <c r="BN106" s="45" t="s">
        <v>38</v>
      </c>
      <c r="BO106" s="45" t="s">
        <v>38</v>
      </c>
      <c r="BP106" s="45" t="s">
        <v>38</v>
      </c>
      <c r="BQ106" s="38" t="s">
        <v>38</v>
      </c>
      <c r="BR106" s="41">
        <v>0.19600000000000001</v>
      </c>
      <c r="BS106" s="41" t="s">
        <v>38</v>
      </c>
      <c r="BT106" s="41">
        <v>0.15</v>
      </c>
      <c r="BU106" s="42">
        <v>0.20300000000000001</v>
      </c>
      <c r="BV106" s="41" t="s">
        <v>38</v>
      </c>
      <c r="BW106" s="41" t="s">
        <v>38</v>
      </c>
      <c r="BX106" s="41" t="s">
        <v>38</v>
      </c>
      <c r="BY106" s="85" t="s">
        <v>38</v>
      </c>
      <c r="BZ106" s="85" t="s">
        <v>38</v>
      </c>
      <c r="CA106" s="87" t="s">
        <v>38</v>
      </c>
    </row>
    <row r="107" spans="1:79">
      <c r="A107" s="21" t="s">
        <v>37</v>
      </c>
      <c r="B107" s="82">
        <v>254458.456752</v>
      </c>
      <c r="C107" s="82">
        <v>4505694.83213</v>
      </c>
      <c r="D107" s="19" t="s">
        <v>38</v>
      </c>
      <c r="E107" s="20">
        <v>0.16350000000000001</v>
      </c>
      <c r="F107" s="20">
        <v>0.16800000000000001</v>
      </c>
      <c r="G107" s="20">
        <v>0.20600000000000002</v>
      </c>
      <c r="H107" s="20">
        <v>0.214</v>
      </c>
      <c r="I107" s="20">
        <v>0.1285</v>
      </c>
      <c r="J107" s="20">
        <v>9.8000000000000004E-2</v>
      </c>
      <c r="K107" s="20">
        <v>9.5500000000000002E-2</v>
      </c>
      <c r="L107" s="20">
        <v>0.1275</v>
      </c>
      <c r="M107" s="20">
        <v>6.25E-2</v>
      </c>
      <c r="N107" s="16">
        <v>0.112</v>
      </c>
      <c r="O107" s="16">
        <v>8.2500000000000004E-2</v>
      </c>
      <c r="P107" s="16" t="s">
        <v>38</v>
      </c>
      <c r="Q107" s="16" t="s">
        <v>38</v>
      </c>
      <c r="R107" s="16" t="s">
        <v>38</v>
      </c>
      <c r="S107" s="16" t="s">
        <v>38</v>
      </c>
      <c r="T107" s="24">
        <v>0.19</v>
      </c>
      <c r="U107" s="24">
        <v>0.192</v>
      </c>
      <c r="V107" s="24">
        <v>0.23400000000000001</v>
      </c>
      <c r="W107" s="24">
        <v>0.219</v>
      </c>
      <c r="X107" s="24">
        <v>0.222</v>
      </c>
      <c r="Y107" s="24">
        <v>0.18</v>
      </c>
      <c r="Z107" s="23">
        <v>0.216</v>
      </c>
      <c r="AA107" s="24">
        <v>0.22500000000000001</v>
      </c>
      <c r="AB107" s="24">
        <v>0.24299999999999999</v>
      </c>
      <c r="AC107" s="24">
        <v>0.19400000000000001</v>
      </c>
      <c r="AD107" s="24">
        <v>0.16800000000000001</v>
      </c>
      <c r="AE107" s="24" t="s">
        <v>38</v>
      </c>
      <c r="AF107" s="24">
        <v>0.14199999999999999</v>
      </c>
      <c r="AG107" s="24">
        <v>0.16</v>
      </c>
      <c r="AH107" s="24">
        <v>0.11799999999999999</v>
      </c>
      <c r="AI107" s="24">
        <v>0.11899999999999999</v>
      </c>
      <c r="AJ107" s="24" t="s">
        <v>38</v>
      </c>
      <c r="AK107" s="24">
        <v>0.104</v>
      </c>
      <c r="AL107" s="24">
        <v>0.182</v>
      </c>
      <c r="AM107" s="24">
        <v>0.23100000000000001</v>
      </c>
      <c r="AN107" s="40">
        <v>0.186</v>
      </c>
      <c r="AO107" s="40" t="s">
        <v>38</v>
      </c>
      <c r="AP107" s="40" t="s">
        <v>38</v>
      </c>
      <c r="AQ107" s="40">
        <v>0.155</v>
      </c>
      <c r="AR107" s="40" t="s">
        <v>38</v>
      </c>
      <c r="AS107" s="40">
        <v>0.11899999999999999</v>
      </c>
      <c r="AT107" s="40" t="s">
        <v>38</v>
      </c>
      <c r="AU107" s="40">
        <v>9.7000000000000003E-2</v>
      </c>
      <c r="AV107" s="40" t="s">
        <v>38</v>
      </c>
      <c r="AW107" s="40" t="s">
        <v>38</v>
      </c>
      <c r="AX107" s="40" t="s">
        <v>38</v>
      </c>
      <c r="AY107" s="40">
        <v>0.192</v>
      </c>
      <c r="AZ107" s="40">
        <v>0.13850000000000001</v>
      </c>
      <c r="BA107" s="40">
        <v>0.16750000000000001</v>
      </c>
      <c r="BB107" s="49">
        <v>0.1125</v>
      </c>
      <c r="BC107" s="58" t="s">
        <v>38</v>
      </c>
      <c r="BD107" s="58" t="s">
        <v>38</v>
      </c>
      <c r="BE107" s="23" t="s">
        <v>38</v>
      </c>
      <c r="BF107" s="50">
        <v>0.158</v>
      </c>
      <c r="BG107" s="40">
        <v>0.2</v>
      </c>
      <c r="BH107" s="45" t="s">
        <v>38</v>
      </c>
      <c r="BI107" s="38">
        <v>0.19600000000000001</v>
      </c>
      <c r="BJ107" s="38">
        <v>0.19500000000000001</v>
      </c>
      <c r="BK107" s="38">
        <v>0.189</v>
      </c>
      <c r="BL107" s="38">
        <v>0.19550000000000001</v>
      </c>
      <c r="BM107" s="38">
        <v>0.1885</v>
      </c>
      <c r="BN107" s="45" t="s">
        <v>38</v>
      </c>
      <c r="BO107" s="45" t="s">
        <v>38</v>
      </c>
      <c r="BP107" s="45" t="s">
        <v>38</v>
      </c>
      <c r="BQ107" s="38" t="s">
        <v>38</v>
      </c>
      <c r="BR107" s="41">
        <v>0.124</v>
      </c>
      <c r="BS107" s="41" t="s">
        <v>38</v>
      </c>
      <c r="BT107" s="41">
        <v>0.109</v>
      </c>
      <c r="BU107" s="42">
        <v>0.1205</v>
      </c>
      <c r="BV107" s="41" t="s">
        <v>38</v>
      </c>
      <c r="BW107" s="41" t="s">
        <v>38</v>
      </c>
      <c r="BX107" s="41" t="s">
        <v>38</v>
      </c>
      <c r="BY107" s="85">
        <f>(0.291+0.274)/2</f>
        <v>0.28249999999999997</v>
      </c>
      <c r="BZ107" s="85">
        <f>(0.345+0.36)/2</f>
        <v>0.35249999999999998</v>
      </c>
      <c r="CA107" s="87">
        <v>0.26400000000000001</v>
      </c>
    </row>
    <row r="108" spans="1:79">
      <c r="A108" s="7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V108" s="22"/>
      <c r="W108" s="22"/>
      <c r="BY108" s="61"/>
      <c r="BZ108" s="61"/>
      <c r="CA108" s="61"/>
    </row>
    <row r="109" spans="1:79">
      <c r="V109" s="22"/>
      <c r="W109" s="22"/>
    </row>
    <row r="110" spans="1:79">
      <c r="V110" s="22"/>
      <c r="W110" s="22"/>
    </row>
    <row r="111" spans="1:79">
      <c r="V111" s="22"/>
      <c r="W111" s="22"/>
    </row>
    <row r="112" spans="1:79">
      <c r="V112" s="22"/>
      <c r="W112" s="22"/>
    </row>
    <row r="113" spans="22:23">
      <c r="V113" s="22"/>
      <c r="W113" s="22"/>
    </row>
    <row r="114" spans="22:23">
      <c r="W114" s="22"/>
    </row>
    <row r="115" spans="22:23">
      <c r="W115" s="22"/>
    </row>
  </sheetData>
  <mergeCells count="10">
    <mergeCell ref="BY13:BZ13"/>
    <mergeCell ref="BY14:BZ14"/>
    <mergeCell ref="BY15:BZ15"/>
    <mergeCell ref="BY16:BZ16"/>
    <mergeCell ref="BY7:BZ7"/>
    <mergeCell ref="BY8:BZ8"/>
    <mergeCell ref="BY9:BZ9"/>
    <mergeCell ref="BY10:BZ10"/>
    <mergeCell ref="BY11:BZ11"/>
    <mergeCell ref="BY12:BZ12"/>
  </mergeCells>
  <phoneticPr fontId="27" type="noConversion"/>
  <pageMargins left="0.7" right="0.7" top="0.75" bottom="0.75" header="0.3" footer="0.3"/>
  <pageSetup orientation="portrait" horizontalDpi="200" verticalDpi="200" copies="0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A115"/>
  <sheetViews>
    <sheetView workbookViewId="0">
      <selection activeCell="BY108" sqref="BY108:CA218"/>
    </sheetView>
  </sheetViews>
  <sheetFormatPr defaultColWidth="8.85546875" defaultRowHeight="15.75"/>
  <cols>
    <col min="1" max="1" width="5.140625" style="15" bestFit="1" customWidth="1"/>
    <col min="2" max="3" width="19.7109375" style="82" customWidth="1"/>
    <col min="4" max="4" width="10.42578125" style="15" customWidth="1"/>
    <col min="5" max="5" width="11.42578125" style="15" customWidth="1"/>
    <col min="6" max="7" width="10.42578125" style="15" customWidth="1"/>
    <col min="8" max="8" width="9.85546875" style="15" customWidth="1"/>
    <col min="9" max="9" width="10" style="15" customWidth="1"/>
    <col min="10" max="10" width="10.42578125" style="15" customWidth="1"/>
    <col min="11" max="11" width="11.28515625" style="15" customWidth="1"/>
    <col min="12" max="13" width="10.42578125" style="15" customWidth="1"/>
    <col min="14" max="14" width="8.85546875" style="23"/>
    <col min="15" max="15" width="8.85546875" style="24"/>
    <col min="16" max="16" width="8.85546875" style="23"/>
    <col min="17" max="17" width="10" style="23" customWidth="1"/>
    <col min="18" max="18" width="13" style="23" customWidth="1"/>
    <col min="19" max="19" width="11.42578125" style="23" customWidth="1"/>
    <col min="20" max="20" width="12" style="19" customWidth="1"/>
    <col min="21" max="21" width="11.42578125" style="19" customWidth="1"/>
    <col min="22" max="22" width="12.42578125" style="19" customWidth="1"/>
    <col min="23" max="23" width="11.140625" style="7" customWidth="1"/>
    <col min="24" max="24" width="11.42578125" style="15" customWidth="1"/>
    <col min="25" max="26" width="9.7109375" style="15" customWidth="1"/>
    <col min="27" max="27" width="10" style="15" customWidth="1"/>
    <col min="28" max="28" width="8.85546875" style="15"/>
    <col min="29" max="30" width="9.42578125" style="15" customWidth="1"/>
    <col min="31" max="31" width="9.28515625" style="15" customWidth="1"/>
    <col min="32" max="36" width="8.85546875" style="15"/>
    <col min="37" max="37" width="10" style="15" customWidth="1"/>
    <col min="38" max="38" width="11.140625" style="15" customWidth="1"/>
    <col min="39" max="39" width="10.7109375" style="15" customWidth="1"/>
    <col min="40" max="76" width="10.42578125" style="15" customWidth="1"/>
    <col min="77" max="77" width="10.42578125" style="76" customWidth="1"/>
    <col min="78" max="78" width="11.42578125" style="76" customWidth="1"/>
    <col min="79" max="79" width="10.42578125" style="76" customWidth="1"/>
    <col min="80" max="16384" width="8.85546875" style="15"/>
  </cols>
  <sheetData>
    <row r="1" spans="1:79">
      <c r="A1" s="21" t="s">
        <v>57</v>
      </c>
      <c r="B1" s="82" t="s">
        <v>54</v>
      </c>
      <c r="C1" s="82" t="s">
        <v>55</v>
      </c>
      <c r="D1" s="19" t="s">
        <v>117</v>
      </c>
      <c r="E1" s="19" t="s">
        <v>116</v>
      </c>
      <c r="F1" s="19" t="s">
        <v>115</v>
      </c>
      <c r="G1" s="19" t="s">
        <v>114</v>
      </c>
      <c r="H1" s="19" t="s">
        <v>113</v>
      </c>
      <c r="I1" s="19" t="s">
        <v>112</v>
      </c>
      <c r="J1" s="19" t="s">
        <v>111</v>
      </c>
      <c r="K1" s="19" t="s">
        <v>110</v>
      </c>
      <c r="L1" s="19" t="s">
        <v>109</v>
      </c>
      <c r="M1" s="19" t="s">
        <v>108</v>
      </c>
      <c r="N1" s="16" t="s">
        <v>107</v>
      </c>
      <c r="O1" s="16" t="s">
        <v>106</v>
      </c>
      <c r="P1" s="16" t="s">
        <v>105</v>
      </c>
      <c r="Q1" s="16" t="s">
        <v>104</v>
      </c>
      <c r="R1" s="21" t="s">
        <v>103</v>
      </c>
      <c r="S1" s="23" t="s">
        <v>102</v>
      </c>
      <c r="T1" s="31" t="s">
        <v>82</v>
      </c>
      <c r="U1" s="31" t="s">
        <v>83</v>
      </c>
      <c r="V1" s="31" t="s">
        <v>84</v>
      </c>
      <c r="W1" s="31" t="s">
        <v>85</v>
      </c>
      <c r="X1" s="31" t="s">
        <v>86</v>
      </c>
      <c r="Y1" s="31" t="s">
        <v>87</v>
      </c>
      <c r="Z1" s="31" t="s">
        <v>88</v>
      </c>
      <c r="AA1" s="31" t="s">
        <v>89</v>
      </c>
      <c r="AB1" s="31" t="s">
        <v>90</v>
      </c>
      <c r="AC1" s="31" t="s">
        <v>91</v>
      </c>
      <c r="AD1" s="31" t="s">
        <v>92</v>
      </c>
      <c r="AE1" s="31" t="s">
        <v>93</v>
      </c>
      <c r="AF1" s="31" t="s">
        <v>94</v>
      </c>
      <c r="AG1" s="31" t="s">
        <v>95</v>
      </c>
      <c r="AH1" s="31" t="s">
        <v>96</v>
      </c>
      <c r="AI1" s="31" t="s">
        <v>97</v>
      </c>
      <c r="AJ1" s="31" t="s">
        <v>98</v>
      </c>
      <c r="AK1" s="31" t="s">
        <v>99</v>
      </c>
      <c r="AL1" s="31" t="s">
        <v>100</v>
      </c>
      <c r="AM1" s="31" t="s">
        <v>101</v>
      </c>
      <c r="AN1" s="31" t="s">
        <v>118</v>
      </c>
      <c r="AO1" s="31" t="s">
        <v>119</v>
      </c>
      <c r="AP1" s="31" t="s">
        <v>120</v>
      </c>
      <c r="AQ1" s="31" t="s">
        <v>121</v>
      </c>
      <c r="AR1" s="31" t="s">
        <v>122</v>
      </c>
      <c r="AS1" s="31" t="s">
        <v>123</v>
      </c>
      <c r="AT1" s="31" t="s">
        <v>124</v>
      </c>
      <c r="AU1" s="31" t="s">
        <v>125</v>
      </c>
      <c r="AV1" s="31" t="s">
        <v>126</v>
      </c>
      <c r="AW1" s="31" t="s">
        <v>127</v>
      </c>
      <c r="AX1" s="31" t="s">
        <v>128</v>
      </c>
      <c r="AY1" s="31" t="s">
        <v>129</v>
      </c>
      <c r="AZ1" s="31" t="s">
        <v>130</v>
      </c>
      <c r="BA1" s="31" t="s">
        <v>131</v>
      </c>
      <c r="BB1" s="32" t="s">
        <v>132</v>
      </c>
      <c r="BC1" s="32" t="s">
        <v>133</v>
      </c>
      <c r="BD1" s="32" t="s">
        <v>134</v>
      </c>
      <c r="BE1" s="32" t="s">
        <v>135</v>
      </c>
      <c r="BF1" s="32" t="s">
        <v>136</v>
      </c>
      <c r="BG1" s="31" t="s">
        <v>81</v>
      </c>
      <c r="BH1" s="31" t="s">
        <v>137</v>
      </c>
      <c r="BI1" s="33" t="s">
        <v>80</v>
      </c>
      <c r="BJ1" s="31" t="s">
        <v>138</v>
      </c>
      <c r="BK1" s="31" t="s">
        <v>139</v>
      </c>
      <c r="BL1" s="31" t="s">
        <v>140</v>
      </c>
      <c r="BM1" s="31" t="s">
        <v>141</v>
      </c>
      <c r="BN1" s="31" t="s">
        <v>142</v>
      </c>
      <c r="BO1" s="31" t="s">
        <v>143</v>
      </c>
      <c r="BP1" s="31" t="s">
        <v>144</v>
      </c>
      <c r="BQ1" s="33" t="s">
        <v>145</v>
      </c>
      <c r="BR1" s="34" t="s">
        <v>146</v>
      </c>
      <c r="BS1" s="34" t="s">
        <v>147</v>
      </c>
      <c r="BT1" s="34" t="s">
        <v>148</v>
      </c>
      <c r="BU1" s="35" t="s">
        <v>149</v>
      </c>
      <c r="BV1" s="34" t="s">
        <v>150</v>
      </c>
      <c r="BW1" s="35" t="s">
        <v>151</v>
      </c>
      <c r="BX1" s="35" t="s">
        <v>152</v>
      </c>
      <c r="BY1" s="69" t="s">
        <v>153</v>
      </c>
      <c r="BZ1" s="69" t="s">
        <v>154</v>
      </c>
      <c r="CA1" s="69" t="s">
        <v>155</v>
      </c>
    </row>
    <row r="2" spans="1:79">
      <c r="A2" s="21" t="s">
        <v>0</v>
      </c>
      <c r="B2" s="82">
        <v>254435.22415699999</v>
      </c>
      <c r="C2" s="82">
        <v>4505558.7383700004</v>
      </c>
      <c r="D2" s="19" t="s">
        <v>38</v>
      </c>
      <c r="E2" s="19">
        <v>0.222</v>
      </c>
      <c r="F2" s="19">
        <v>0.20899999999999999</v>
      </c>
      <c r="G2" s="19">
        <v>0.25950000000000001</v>
      </c>
      <c r="H2" s="19">
        <v>0.23599999999999999</v>
      </c>
      <c r="I2" s="19">
        <v>0.1865</v>
      </c>
      <c r="J2" s="19">
        <v>0.18049999999999999</v>
      </c>
      <c r="K2" s="19">
        <v>0.13250000000000001</v>
      </c>
      <c r="L2" s="19">
        <v>0.16349999999999998</v>
      </c>
      <c r="M2" s="19">
        <v>0.11349999999999999</v>
      </c>
      <c r="N2" s="16">
        <v>0.13450000000000001</v>
      </c>
      <c r="O2" s="16">
        <v>0.1265</v>
      </c>
      <c r="P2" s="16">
        <v>0.1205</v>
      </c>
      <c r="Q2" s="16">
        <v>0.1905</v>
      </c>
      <c r="R2" s="16">
        <v>0.18049999999999999</v>
      </c>
      <c r="S2" s="16">
        <v>0.21800000000000003</v>
      </c>
      <c r="T2" s="40">
        <v>0.27600000000000002</v>
      </c>
      <c r="U2" s="40">
        <v>0.23699999999999999</v>
      </c>
      <c r="V2" s="40">
        <v>0.217</v>
      </c>
      <c r="W2" s="40">
        <v>0.23400000000000001</v>
      </c>
      <c r="X2" s="40">
        <v>0.20799999999999999</v>
      </c>
      <c r="Y2" s="40">
        <v>0.22600000000000001</v>
      </c>
      <c r="Z2" s="40">
        <v>0.20899999999999999</v>
      </c>
      <c r="AA2" s="40">
        <v>0.20799999999999999</v>
      </c>
      <c r="AB2" s="40">
        <v>0.26100000000000001</v>
      </c>
      <c r="AC2" s="40">
        <v>0.2</v>
      </c>
      <c r="AD2" s="40">
        <v>0.26900000000000002</v>
      </c>
      <c r="AE2" s="40">
        <v>0.221</v>
      </c>
      <c r="AF2" s="40">
        <v>0.182</v>
      </c>
      <c r="AG2" s="40">
        <v>0.16700000000000001</v>
      </c>
      <c r="AH2" s="40">
        <v>0.14699999999999999</v>
      </c>
      <c r="AI2" s="40">
        <v>0.123</v>
      </c>
      <c r="AJ2" s="40">
        <v>0.156</v>
      </c>
      <c r="AK2" s="40">
        <v>0.17899999999999999</v>
      </c>
      <c r="AL2" s="40">
        <v>0.29399999999999998</v>
      </c>
      <c r="AM2" s="40">
        <v>0.28000000000000003</v>
      </c>
      <c r="AN2" s="40">
        <v>0.19700000000000001</v>
      </c>
      <c r="AO2" s="40">
        <v>0.14599999999999999</v>
      </c>
      <c r="AP2" s="40">
        <v>0.22500000000000001</v>
      </c>
      <c r="AQ2" s="40">
        <v>0.222</v>
      </c>
      <c r="AR2" s="40">
        <v>0.20200000000000001</v>
      </c>
      <c r="AS2" s="40">
        <v>0.216</v>
      </c>
      <c r="AT2" s="40">
        <v>0.184</v>
      </c>
      <c r="AU2" s="40">
        <v>0.16</v>
      </c>
      <c r="AV2" s="40">
        <v>0.13700000000000001</v>
      </c>
      <c r="AW2" s="40">
        <v>0.127</v>
      </c>
      <c r="AX2" s="40">
        <v>0.13800000000000001</v>
      </c>
      <c r="AY2" s="40">
        <v>0.182</v>
      </c>
      <c r="AZ2" s="40">
        <v>0.13400000000000001</v>
      </c>
      <c r="BA2" s="40">
        <v>0.16200000000000001</v>
      </c>
      <c r="BB2" s="23" t="s">
        <v>38</v>
      </c>
      <c r="BC2" s="40">
        <v>0.17849999999999999</v>
      </c>
      <c r="BD2" s="23" t="s">
        <v>38</v>
      </c>
      <c r="BE2" s="23" t="s">
        <v>38</v>
      </c>
      <c r="BF2" s="23" t="s">
        <v>38</v>
      </c>
      <c r="BG2" s="40">
        <v>0.20700000000000002</v>
      </c>
      <c r="BH2" s="38">
        <v>0.16550000000000001</v>
      </c>
      <c r="BI2" s="38">
        <v>0.19950000000000001</v>
      </c>
      <c r="BJ2" s="38">
        <v>0.24049999999999999</v>
      </c>
      <c r="BK2" s="38">
        <v>0.22650000000000001</v>
      </c>
      <c r="BL2" s="38">
        <v>0.1595</v>
      </c>
      <c r="BM2" s="38">
        <v>0.186</v>
      </c>
      <c r="BN2" s="23" t="s">
        <v>38</v>
      </c>
      <c r="BO2" s="40">
        <v>0.18</v>
      </c>
      <c r="BP2" s="38">
        <v>0.1865</v>
      </c>
      <c r="BQ2" s="38">
        <v>0.1845</v>
      </c>
      <c r="BR2" s="41">
        <v>0.187</v>
      </c>
      <c r="BS2" s="23" t="s">
        <v>38</v>
      </c>
      <c r="BT2" s="41">
        <v>0.21099999999999999</v>
      </c>
      <c r="BU2" s="42" t="s">
        <v>38</v>
      </c>
      <c r="BV2" s="41">
        <v>0.17749999999999999</v>
      </c>
      <c r="BW2" s="42">
        <v>0.191</v>
      </c>
      <c r="BX2" s="42">
        <v>0.184</v>
      </c>
      <c r="BY2" s="85">
        <f>(0.244+0.299)/2</f>
        <v>0.27149999999999996</v>
      </c>
      <c r="BZ2" s="85">
        <f>(0.246+0.253)/2</f>
        <v>0.2495</v>
      </c>
      <c r="CA2" s="86">
        <v>0.33050000000000002</v>
      </c>
    </row>
    <row r="3" spans="1:79">
      <c r="A3" s="21" t="s">
        <v>1</v>
      </c>
      <c r="B3" s="82">
        <v>254434.193532</v>
      </c>
      <c r="C3" s="82">
        <v>4505555.6557400003</v>
      </c>
      <c r="D3" s="19" t="s">
        <v>38</v>
      </c>
      <c r="E3" s="19">
        <v>0.25</v>
      </c>
      <c r="F3" s="19">
        <v>0.23499999999999999</v>
      </c>
      <c r="G3" s="19">
        <v>0.23699999999999999</v>
      </c>
      <c r="H3" s="19">
        <v>0.23749999999999999</v>
      </c>
      <c r="I3" s="19">
        <v>0.20450000000000002</v>
      </c>
      <c r="J3" s="19">
        <v>0.182</v>
      </c>
      <c r="K3" s="19">
        <v>0.13550000000000001</v>
      </c>
      <c r="L3" s="19">
        <v>0.16250000000000001</v>
      </c>
      <c r="M3" s="19">
        <v>0.128</v>
      </c>
      <c r="N3" s="16">
        <v>0.16500000000000001</v>
      </c>
      <c r="O3" s="16">
        <v>0.13400000000000001</v>
      </c>
      <c r="P3" s="16">
        <v>0.15049999999999999</v>
      </c>
      <c r="Q3" s="16">
        <v>0.1915</v>
      </c>
      <c r="R3" s="16" t="s">
        <v>38</v>
      </c>
      <c r="S3" s="16">
        <v>0.23</v>
      </c>
      <c r="T3" s="40">
        <v>0.16</v>
      </c>
      <c r="U3" s="40">
        <v>0.22600000000000001</v>
      </c>
      <c r="V3" s="40">
        <v>0.26400000000000001</v>
      </c>
      <c r="W3" s="40">
        <v>0.24299999999999999</v>
      </c>
      <c r="X3" s="40">
        <v>0.249</v>
      </c>
      <c r="Y3" s="40">
        <v>0.222</v>
      </c>
      <c r="Z3" s="40">
        <v>0.26200000000000001</v>
      </c>
      <c r="AA3" s="40">
        <v>0.26200000000000001</v>
      </c>
      <c r="AB3" s="40">
        <v>0.28199999999999997</v>
      </c>
      <c r="AC3" s="40">
        <v>0.26400000000000001</v>
      </c>
      <c r="AD3" s="40">
        <v>0.248</v>
      </c>
      <c r="AE3" s="40">
        <v>0.25700000000000001</v>
      </c>
      <c r="AF3" s="40">
        <v>0.17599999999999999</v>
      </c>
      <c r="AG3" s="40">
        <v>0.17299999999999999</v>
      </c>
      <c r="AH3" s="40">
        <v>0.186</v>
      </c>
      <c r="AI3" s="40">
        <v>0.192</v>
      </c>
      <c r="AJ3" s="40">
        <v>0.16900000000000001</v>
      </c>
      <c r="AK3" s="40">
        <v>0.152</v>
      </c>
      <c r="AL3" s="40">
        <v>0.26600000000000001</v>
      </c>
      <c r="AM3" s="40">
        <v>0.26100000000000001</v>
      </c>
      <c r="AN3" s="40">
        <v>0.23400000000000001</v>
      </c>
      <c r="AO3" s="40">
        <v>0.16300000000000001</v>
      </c>
      <c r="AP3" s="40">
        <v>0.13</v>
      </c>
      <c r="AQ3" s="40">
        <v>0.22600000000000001</v>
      </c>
      <c r="AR3" s="40">
        <v>0.218</v>
      </c>
      <c r="AS3" s="40">
        <v>0.21099999999999999</v>
      </c>
      <c r="AT3" s="40">
        <v>0.121</v>
      </c>
      <c r="AU3" s="40">
        <v>0.20300000000000001</v>
      </c>
      <c r="AV3" s="40">
        <v>0.17399999999999999</v>
      </c>
      <c r="AW3" s="40">
        <v>0.157</v>
      </c>
      <c r="AX3" s="40">
        <v>0.154</v>
      </c>
      <c r="AY3" s="40">
        <v>0.219</v>
      </c>
      <c r="AZ3" s="40">
        <v>0.20200000000000001</v>
      </c>
      <c r="BA3" s="40">
        <v>0.21</v>
      </c>
      <c r="BB3" s="23" t="s">
        <v>38</v>
      </c>
      <c r="BC3" s="40">
        <v>0.1585</v>
      </c>
      <c r="BD3" s="23" t="s">
        <v>38</v>
      </c>
      <c r="BE3" s="23" t="s">
        <v>38</v>
      </c>
      <c r="BF3" s="23" t="s">
        <v>38</v>
      </c>
      <c r="BG3" s="40">
        <v>0.2495</v>
      </c>
      <c r="BH3" s="38">
        <v>0.22</v>
      </c>
      <c r="BI3" s="38">
        <v>0.224</v>
      </c>
      <c r="BJ3" s="38">
        <v>0.22950000000000001</v>
      </c>
      <c r="BK3" s="38">
        <v>0.2155</v>
      </c>
      <c r="BL3" s="38">
        <v>0.2175</v>
      </c>
      <c r="BM3" s="38">
        <v>0.20050000000000001</v>
      </c>
      <c r="BN3" s="23" t="s">
        <v>38</v>
      </c>
      <c r="BO3" s="40">
        <v>0.1915</v>
      </c>
      <c r="BP3" s="38">
        <v>0.20499999999999999</v>
      </c>
      <c r="BQ3" s="38">
        <v>0.20849999999999999</v>
      </c>
      <c r="BR3" s="41">
        <v>0.2195</v>
      </c>
      <c r="BS3" s="23" t="s">
        <v>38</v>
      </c>
      <c r="BT3" s="41">
        <v>0.20749999999999999</v>
      </c>
      <c r="BU3" s="42" t="s">
        <v>38</v>
      </c>
      <c r="BV3" s="41">
        <v>0.22</v>
      </c>
      <c r="BW3" s="42">
        <v>0.20749999999999999</v>
      </c>
      <c r="BX3" s="42">
        <v>0.17349999999999999</v>
      </c>
      <c r="BY3" s="85">
        <f>(0.277+0.27)/2</f>
        <v>0.27350000000000002</v>
      </c>
      <c r="BZ3" s="85">
        <f>(0.258+0.262)/2</f>
        <v>0.26</v>
      </c>
      <c r="CA3" s="86">
        <v>0.34150000000000003</v>
      </c>
    </row>
    <row r="4" spans="1:79">
      <c r="A4" s="21" t="s">
        <v>2</v>
      </c>
      <c r="B4" s="82">
        <v>254437.047169</v>
      </c>
      <c r="C4" s="82">
        <v>4505550.4602800002</v>
      </c>
      <c r="D4" s="19" t="s">
        <v>38</v>
      </c>
      <c r="E4" s="19">
        <v>0.13200000000000001</v>
      </c>
      <c r="F4" s="19">
        <v>0.155</v>
      </c>
      <c r="G4" s="19">
        <v>0.1565</v>
      </c>
      <c r="H4" s="19">
        <v>0.17399999999999999</v>
      </c>
      <c r="I4" s="19">
        <v>0.128</v>
      </c>
      <c r="J4" s="19">
        <v>0.1205</v>
      </c>
      <c r="K4" s="19">
        <v>8.9499999999999996E-2</v>
      </c>
      <c r="L4" s="19">
        <v>0.11899999999999999</v>
      </c>
      <c r="M4" s="19">
        <v>0.08</v>
      </c>
      <c r="N4" s="16">
        <v>0.13400000000000001</v>
      </c>
      <c r="O4" s="16">
        <v>9.4E-2</v>
      </c>
      <c r="P4" s="16">
        <v>0.124</v>
      </c>
      <c r="Q4" s="16">
        <v>0.13200000000000001</v>
      </c>
      <c r="R4" s="16">
        <v>0.14649999999999999</v>
      </c>
      <c r="S4" s="16">
        <v>0.17199999999999999</v>
      </c>
      <c r="T4" s="23" t="s">
        <v>38</v>
      </c>
      <c r="U4" s="40">
        <v>0.16700000000000001</v>
      </c>
      <c r="V4" s="40">
        <v>0.14599999999999999</v>
      </c>
      <c r="W4" s="40">
        <v>0.151</v>
      </c>
      <c r="X4" s="40">
        <v>0.13600000000000001</v>
      </c>
      <c r="Y4" s="40">
        <v>0.125</v>
      </c>
      <c r="Z4" s="40">
        <v>0.13400000000000001</v>
      </c>
      <c r="AA4" s="40">
        <v>0.153</v>
      </c>
      <c r="AB4" s="40">
        <v>0.14699999999999999</v>
      </c>
      <c r="AC4" s="40">
        <v>0.153</v>
      </c>
      <c r="AD4" s="40">
        <v>0.16900000000000001</v>
      </c>
      <c r="AE4" s="40">
        <v>0.18</v>
      </c>
      <c r="AF4" s="40">
        <v>0.13400000000000001</v>
      </c>
      <c r="AG4" s="40">
        <v>0.13</v>
      </c>
      <c r="AH4" s="40">
        <v>0.13100000000000001</v>
      </c>
      <c r="AI4" s="40">
        <v>0.13100000000000001</v>
      </c>
      <c r="AJ4" s="40">
        <v>0.11799999999999999</v>
      </c>
      <c r="AK4" s="40">
        <v>0.11799999999999999</v>
      </c>
      <c r="AL4" s="40">
        <v>0.17</v>
      </c>
      <c r="AM4" s="40">
        <v>0.189</v>
      </c>
      <c r="AN4" s="40">
        <v>0.13500000000000001</v>
      </c>
      <c r="AO4" s="40">
        <v>0.10100000000000001</v>
      </c>
      <c r="AP4" s="40">
        <v>0.113</v>
      </c>
      <c r="AQ4" s="40">
        <v>0.13100000000000001</v>
      </c>
      <c r="AR4" s="40">
        <v>0.12</v>
      </c>
      <c r="AS4" s="40">
        <v>0.11799999999999999</v>
      </c>
      <c r="AT4" s="40">
        <v>0.11700000000000001</v>
      </c>
      <c r="AU4" s="40">
        <v>0.106</v>
      </c>
      <c r="AV4" s="40">
        <v>9.4E-2</v>
      </c>
      <c r="AW4" s="40">
        <v>9.6000000000000002E-2</v>
      </c>
      <c r="AX4" s="40">
        <v>8.2000000000000003E-2</v>
      </c>
      <c r="AY4" s="40">
        <v>0.123</v>
      </c>
      <c r="AZ4" s="40">
        <v>0.126</v>
      </c>
      <c r="BA4" s="40">
        <v>0.125</v>
      </c>
      <c r="BB4" s="23" t="s">
        <v>38</v>
      </c>
      <c r="BC4" s="40">
        <v>0.13650000000000001</v>
      </c>
      <c r="BD4" s="23" t="s">
        <v>38</v>
      </c>
      <c r="BE4" s="23" t="s">
        <v>38</v>
      </c>
      <c r="BF4" s="23" t="s">
        <v>38</v>
      </c>
      <c r="BG4" s="40">
        <v>0.16849999999999998</v>
      </c>
      <c r="BH4" s="38">
        <v>0.16699999999999998</v>
      </c>
      <c r="BI4" s="38">
        <v>0.1555</v>
      </c>
      <c r="BJ4" s="38">
        <v>0.14100000000000001</v>
      </c>
      <c r="BK4" s="38">
        <v>0.1285</v>
      </c>
      <c r="BL4" s="38">
        <v>0.13350000000000001</v>
      </c>
      <c r="BM4" s="38">
        <v>0.1285</v>
      </c>
      <c r="BN4" s="23" t="s">
        <v>38</v>
      </c>
      <c r="BO4" s="40">
        <v>0.1245</v>
      </c>
      <c r="BP4" s="38">
        <v>0.1205</v>
      </c>
      <c r="BQ4" s="38">
        <v>0.13450000000000001</v>
      </c>
      <c r="BR4" s="41">
        <v>0.16250000000000001</v>
      </c>
      <c r="BS4" s="23" t="s">
        <v>38</v>
      </c>
      <c r="BT4" s="41">
        <v>0.14249999999999999</v>
      </c>
      <c r="BU4" s="42" t="s">
        <v>38</v>
      </c>
      <c r="BV4" s="41">
        <v>0.15049999999999999</v>
      </c>
      <c r="BW4" s="42">
        <v>0.17449999999999999</v>
      </c>
      <c r="BX4" s="42">
        <v>0.13200000000000001</v>
      </c>
      <c r="BY4" s="85">
        <f>(0.235+0.238)/2</f>
        <v>0.23649999999999999</v>
      </c>
      <c r="BZ4" s="85">
        <f>(0.227+0.226)/2</f>
        <v>0.22650000000000001</v>
      </c>
      <c r="CA4" s="86">
        <v>0.28599999999999998</v>
      </c>
    </row>
    <row r="5" spans="1:79">
      <c r="A5" s="21" t="s">
        <v>3</v>
      </c>
      <c r="B5" s="82">
        <v>254438.863595</v>
      </c>
      <c r="C5" s="82">
        <v>4505538.7464199997</v>
      </c>
      <c r="D5" s="19" t="s">
        <v>38</v>
      </c>
      <c r="E5" s="19">
        <v>0.22650000000000001</v>
      </c>
      <c r="F5" s="19">
        <v>0.24349999999999999</v>
      </c>
      <c r="G5" s="19">
        <v>0.24299999999999999</v>
      </c>
      <c r="H5" s="19">
        <v>0.22</v>
      </c>
      <c r="I5" s="19">
        <v>0.17249999999999999</v>
      </c>
      <c r="J5" s="19">
        <v>0.1545</v>
      </c>
      <c r="K5" s="19">
        <v>0.1305</v>
      </c>
      <c r="L5" s="19">
        <v>0.14450000000000002</v>
      </c>
      <c r="M5" s="19">
        <v>0.11650000000000001</v>
      </c>
      <c r="N5" s="16">
        <v>0.14599999999999999</v>
      </c>
      <c r="O5" s="16">
        <v>0.1245</v>
      </c>
      <c r="P5" s="16">
        <v>0.14050000000000001</v>
      </c>
      <c r="Q5" s="16">
        <v>0.183</v>
      </c>
      <c r="R5" s="16" t="s">
        <v>38</v>
      </c>
      <c r="S5" s="16">
        <v>0.19600000000000001</v>
      </c>
      <c r="T5" s="23" t="s">
        <v>38</v>
      </c>
      <c r="U5" s="40">
        <v>0.215</v>
      </c>
      <c r="V5" s="40">
        <v>0.23300000000000001</v>
      </c>
      <c r="W5" s="40">
        <v>0.216</v>
      </c>
      <c r="X5" s="40">
        <v>0.217</v>
      </c>
      <c r="Y5" s="40">
        <v>0.2</v>
      </c>
      <c r="Z5" s="40">
        <v>0.215</v>
      </c>
      <c r="AA5" s="40">
        <v>0.21</v>
      </c>
      <c r="AB5" s="40">
        <v>0.23200000000000001</v>
      </c>
      <c r="AC5" s="40">
        <v>0.27700000000000002</v>
      </c>
      <c r="AD5" s="40">
        <v>0.246</v>
      </c>
      <c r="AE5" s="40">
        <v>0.21199999999999999</v>
      </c>
      <c r="AF5" s="40">
        <v>0.187</v>
      </c>
      <c r="AG5" s="40">
        <v>0.17299999999999999</v>
      </c>
      <c r="AH5" s="40">
        <v>0.13900000000000001</v>
      </c>
      <c r="AI5" s="40">
        <v>0.156</v>
      </c>
      <c r="AJ5" s="40">
        <v>0.16500000000000001</v>
      </c>
      <c r="AK5" s="40">
        <v>0.159</v>
      </c>
      <c r="AL5" s="40">
        <v>0.26400000000000001</v>
      </c>
      <c r="AM5" s="40">
        <v>0.25700000000000001</v>
      </c>
      <c r="AN5" s="40">
        <v>0.222</v>
      </c>
      <c r="AO5" s="40">
        <v>0.16500000000000001</v>
      </c>
      <c r="AP5" s="40">
        <v>0.16400000000000001</v>
      </c>
      <c r="AQ5" s="40">
        <v>0.184</v>
      </c>
      <c r="AR5" s="40">
        <v>0.17799999999999999</v>
      </c>
      <c r="AS5" s="40">
        <v>0.17599999999999999</v>
      </c>
      <c r="AT5" s="40">
        <v>0.17199999999999999</v>
      </c>
      <c r="AU5" s="40">
        <v>0.159</v>
      </c>
      <c r="AV5" s="40">
        <v>0.14699999999999999</v>
      </c>
      <c r="AW5" s="40">
        <v>0.14199999999999999</v>
      </c>
      <c r="AX5" s="40">
        <v>0.13600000000000001</v>
      </c>
      <c r="AY5" s="40">
        <v>0.17299999999999999</v>
      </c>
      <c r="AZ5" s="40">
        <v>0.17699999999999999</v>
      </c>
      <c r="BA5" s="40">
        <v>0.182</v>
      </c>
      <c r="BB5" s="23" t="s">
        <v>38</v>
      </c>
      <c r="BC5" s="40">
        <v>0.1605</v>
      </c>
      <c r="BD5" s="23" t="s">
        <v>38</v>
      </c>
      <c r="BE5" s="23" t="s">
        <v>38</v>
      </c>
      <c r="BF5" s="23" t="s">
        <v>38</v>
      </c>
      <c r="BG5" s="40">
        <v>0.23699999999999999</v>
      </c>
      <c r="BH5" s="38">
        <v>0.23</v>
      </c>
      <c r="BI5" s="38">
        <v>0.21249999999999999</v>
      </c>
      <c r="BJ5" s="38">
        <v>0.223</v>
      </c>
      <c r="BK5" s="38">
        <v>0.20849999999999999</v>
      </c>
      <c r="BL5" s="38">
        <v>0.20050000000000001</v>
      </c>
      <c r="BM5" s="38">
        <v>0.20250000000000001</v>
      </c>
      <c r="BN5" s="23" t="s">
        <v>38</v>
      </c>
      <c r="BO5" s="40">
        <v>0.21149999999999999</v>
      </c>
      <c r="BP5" s="38">
        <v>0.20300000000000001</v>
      </c>
      <c r="BQ5" s="38">
        <v>0.16600000000000001</v>
      </c>
      <c r="BR5" s="41">
        <v>0.17699999999999999</v>
      </c>
      <c r="BS5" s="23" t="s">
        <v>38</v>
      </c>
      <c r="BT5" s="41">
        <v>0.1615</v>
      </c>
      <c r="BU5" s="42">
        <v>0.15049999999999999</v>
      </c>
      <c r="BV5" s="41">
        <v>0.1615</v>
      </c>
      <c r="BW5" s="42">
        <v>0.18099999999999999</v>
      </c>
      <c r="BX5" s="42">
        <v>0.17</v>
      </c>
      <c r="BY5" s="85">
        <f>(0.268+0.265)/2</f>
        <v>0.26650000000000001</v>
      </c>
      <c r="BZ5" s="85">
        <f>(0.232+0.234)/2</f>
        <v>0.23300000000000001</v>
      </c>
      <c r="CA5" s="86">
        <v>0.3105</v>
      </c>
    </row>
    <row r="6" spans="1:79">
      <c r="A6" s="21" t="s">
        <v>4</v>
      </c>
      <c r="B6" s="82">
        <v>254443.36339700001</v>
      </c>
      <c r="C6" s="82">
        <v>4505517.0831000004</v>
      </c>
      <c r="D6" s="19" t="s">
        <v>38</v>
      </c>
      <c r="E6" s="19">
        <v>0.1545</v>
      </c>
      <c r="F6" s="19">
        <v>0.16200000000000001</v>
      </c>
      <c r="G6" s="19">
        <v>0.157</v>
      </c>
      <c r="H6" s="19">
        <v>0.15</v>
      </c>
      <c r="I6" s="19">
        <v>0.1255</v>
      </c>
      <c r="J6" s="19">
        <v>0.11799999999999999</v>
      </c>
      <c r="K6" s="19">
        <v>9.4E-2</v>
      </c>
      <c r="L6" s="19">
        <v>0.11899999999999999</v>
      </c>
      <c r="M6" s="19">
        <v>9.6000000000000002E-2</v>
      </c>
      <c r="N6" s="16">
        <v>0.11849999999999999</v>
      </c>
      <c r="O6" s="16">
        <v>0.10100000000000001</v>
      </c>
      <c r="P6" s="16">
        <v>0.11650000000000001</v>
      </c>
      <c r="Q6" s="16">
        <v>0.14949999999999999</v>
      </c>
      <c r="R6" s="16">
        <v>0.15049999999999999</v>
      </c>
      <c r="S6" s="16">
        <v>0.16350000000000001</v>
      </c>
      <c r="T6" s="23" t="s">
        <v>38</v>
      </c>
      <c r="U6" s="40">
        <v>0.19400000000000001</v>
      </c>
      <c r="V6" s="40">
        <v>0.16900000000000001</v>
      </c>
      <c r="W6" s="40">
        <v>0.2</v>
      </c>
      <c r="X6" s="40">
        <v>0.16300000000000001</v>
      </c>
      <c r="Y6" s="40">
        <v>0.14699999999999999</v>
      </c>
      <c r="Z6" s="40">
        <v>0.154</v>
      </c>
      <c r="AA6" s="40">
        <v>0.161</v>
      </c>
      <c r="AB6" s="40">
        <v>0.156</v>
      </c>
      <c r="AC6" s="40">
        <v>0.16800000000000001</v>
      </c>
      <c r="AD6" s="40">
        <v>0.17</v>
      </c>
      <c r="AE6" s="40">
        <v>0.16400000000000001</v>
      </c>
      <c r="AF6" s="40">
        <v>0.13900000000000001</v>
      </c>
      <c r="AG6" s="40">
        <v>0.14199999999999999</v>
      </c>
      <c r="AH6" s="40">
        <v>0.124</v>
      </c>
      <c r="AI6" s="40">
        <v>0.11700000000000001</v>
      </c>
      <c r="AJ6" s="40">
        <v>0.14899999999999999</v>
      </c>
      <c r="AK6" s="40">
        <v>0.125</v>
      </c>
      <c r="AL6" s="40">
        <v>0.17699999999999999</v>
      </c>
      <c r="AM6" s="40">
        <v>0.17799999999999999</v>
      </c>
      <c r="AN6" s="40">
        <v>0.16</v>
      </c>
      <c r="AO6" s="40">
        <v>0.113</v>
      </c>
      <c r="AP6" s="40">
        <v>0.14699999999999999</v>
      </c>
      <c r="AQ6" s="40">
        <v>0.13600000000000001</v>
      </c>
      <c r="AR6" s="40">
        <v>0.124</v>
      </c>
      <c r="AS6" s="40">
        <v>0.13800000000000001</v>
      </c>
      <c r="AT6" s="40">
        <v>0.13500000000000001</v>
      </c>
      <c r="AU6" s="40">
        <v>0.124</v>
      </c>
      <c r="AV6" s="40">
        <v>0.13500000000000001</v>
      </c>
      <c r="AW6" s="40">
        <v>0.109</v>
      </c>
      <c r="AX6" s="40">
        <v>0.114</v>
      </c>
      <c r="AY6" s="40">
        <v>0.152</v>
      </c>
      <c r="AZ6" s="40">
        <v>0.11799999999999999</v>
      </c>
      <c r="BA6" s="40">
        <v>0.127</v>
      </c>
      <c r="BB6" s="23" t="s">
        <v>38</v>
      </c>
      <c r="BC6" s="40">
        <v>0.13400000000000001</v>
      </c>
      <c r="BD6" s="23" t="s">
        <v>38</v>
      </c>
      <c r="BE6" s="23" t="s">
        <v>38</v>
      </c>
      <c r="BF6" s="23" t="s">
        <v>38</v>
      </c>
      <c r="BG6" s="40">
        <v>0.17699999999999999</v>
      </c>
      <c r="BH6" s="38">
        <v>0.1535</v>
      </c>
      <c r="BI6" s="38">
        <v>0.14000000000000001</v>
      </c>
      <c r="BJ6" s="38">
        <v>0.14249999999999999</v>
      </c>
      <c r="BK6" s="38">
        <v>0.14099999999999999</v>
      </c>
      <c r="BL6" s="38">
        <v>0.129</v>
      </c>
      <c r="BM6" s="38">
        <v>0.13900000000000001</v>
      </c>
      <c r="BN6" s="23" t="s">
        <v>38</v>
      </c>
      <c r="BO6" s="40">
        <v>0.1525</v>
      </c>
      <c r="BP6" s="38">
        <v>0.15049999999999999</v>
      </c>
      <c r="BQ6" s="38">
        <v>0.124</v>
      </c>
      <c r="BR6" s="41">
        <v>0.13150000000000001</v>
      </c>
      <c r="BS6" s="23" t="s">
        <v>38</v>
      </c>
      <c r="BT6" s="41">
        <v>0.113</v>
      </c>
      <c r="BU6" s="42">
        <v>0.1265</v>
      </c>
      <c r="BV6" s="41">
        <v>0.1135</v>
      </c>
      <c r="BW6" s="42">
        <v>0.1195</v>
      </c>
      <c r="BX6" s="42">
        <v>0.1225</v>
      </c>
      <c r="BY6" s="85">
        <f>(0.207+0.19)/2</f>
        <v>0.19850000000000001</v>
      </c>
      <c r="BZ6" s="84" t="s">
        <v>38</v>
      </c>
      <c r="CA6" s="86" t="s">
        <v>38</v>
      </c>
    </row>
    <row r="7" spans="1:79">
      <c r="A7" s="21" t="s">
        <v>5</v>
      </c>
      <c r="B7" s="82">
        <v>254468.858427</v>
      </c>
      <c r="C7" s="82">
        <v>4505567.6974299997</v>
      </c>
      <c r="D7" s="19" t="s">
        <v>38</v>
      </c>
      <c r="E7" s="19" t="s">
        <v>38</v>
      </c>
      <c r="F7" s="19" t="s">
        <v>38</v>
      </c>
      <c r="G7" s="19" t="s">
        <v>38</v>
      </c>
      <c r="H7" s="19" t="s">
        <v>38</v>
      </c>
      <c r="I7" s="19" t="s">
        <v>38</v>
      </c>
      <c r="J7" s="19" t="s">
        <v>38</v>
      </c>
      <c r="K7" s="19" t="s">
        <v>38</v>
      </c>
      <c r="L7" s="19" t="s">
        <v>38</v>
      </c>
      <c r="M7" s="19" t="s">
        <v>38</v>
      </c>
      <c r="N7" s="23" t="s">
        <v>38</v>
      </c>
      <c r="O7" s="23" t="s">
        <v>38</v>
      </c>
      <c r="P7" s="23" t="s">
        <v>38</v>
      </c>
      <c r="Q7" s="23" t="s">
        <v>38</v>
      </c>
      <c r="R7" s="23" t="s">
        <v>38</v>
      </c>
      <c r="S7" s="23" t="s">
        <v>38</v>
      </c>
      <c r="T7" s="23" t="s">
        <v>38</v>
      </c>
      <c r="U7" s="23" t="s">
        <v>38</v>
      </c>
      <c r="V7" s="23" t="s">
        <v>38</v>
      </c>
      <c r="W7" s="23" t="s">
        <v>38</v>
      </c>
      <c r="X7" s="23" t="s">
        <v>38</v>
      </c>
      <c r="Y7" s="23" t="s">
        <v>38</v>
      </c>
      <c r="Z7" s="23" t="s">
        <v>38</v>
      </c>
      <c r="AA7" s="23" t="s">
        <v>38</v>
      </c>
      <c r="AB7" s="23" t="s">
        <v>38</v>
      </c>
      <c r="AC7" s="23" t="s">
        <v>38</v>
      </c>
      <c r="AD7" s="23" t="s">
        <v>38</v>
      </c>
      <c r="AE7" s="23" t="s">
        <v>38</v>
      </c>
      <c r="AF7" s="23" t="s">
        <v>38</v>
      </c>
      <c r="AG7" s="23" t="s">
        <v>38</v>
      </c>
      <c r="AH7" s="23" t="s">
        <v>38</v>
      </c>
      <c r="AI7" s="23" t="s">
        <v>38</v>
      </c>
      <c r="AJ7" s="23" t="s">
        <v>38</v>
      </c>
      <c r="AK7" s="23" t="s">
        <v>38</v>
      </c>
      <c r="AL7" s="23" t="s">
        <v>38</v>
      </c>
      <c r="AM7" s="23" t="s">
        <v>38</v>
      </c>
      <c r="AN7" s="23" t="s">
        <v>38</v>
      </c>
      <c r="AO7" s="23" t="s">
        <v>38</v>
      </c>
      <c r="AP7" s="23" t="s">
        <v>38</v>
      </c>
      <c r="AQ7" s="23" t="s">
        <v>38</v>
      </c>
      <c r="AR7" s="23" t="s">
        <v>38</v>
      </c>
      <c r="AS7" s="23" t="s">
        <v>38</v>
      </c>
      <c r="AT7" s="23" t="s">
        <v>38</v>
      </c>
      <c r="AU7" s="23" t="s">
        <v>38</v>
      </c>
      <c r="AV7" s="23" t="s">
        <v>38</v>
      </c>
      <c r="AW7" s="23" t="s">
        <v>38</v>
      </c>
      <c r="AX7" s="23" t="s">
        <v>38</v>
      </c>
      <c r="AY7" s="23" t="s">
        <v>38</v>
      </c>
      <c r="AZ7" s="23" t="s">
        <v>38</v>
      </c>
      <c r="BA7" s="23" t="s">
        <v>38</v>
      </c>
      <c r="BB7" s="23" t="s">
        <v>38</v>
      </c>
      <c r="BC7" s="23" t="s">
        <v>38</v>
      </c>
      <c r="BD7" s="23" t="s">
        <v>38</v>
      </c>
      <c r="BE7" s="23" t="s">
        <v>38</v>
      </c>
      <c r="BF7" s="23" t="s">
        <v>38</v>
      </c>
      <c r="BG7" s="23" t="s">
        <v>38</v>
      </c>
      <c r="BH7" s="23" t="s">
        <v>38</v>
      </c>
      <c r="BI7" s="23" t="s">
        <v>38</v>
      </c>
      <c r="BJ7" s="23" t="s">
        <v>38</v>
      </c>
      <c r="BK7" s="23" t="s">
        <v>38</v>
      </c>
      <c r="BL7" s="23" t="s">
        <v>38</v>
      </c>
      <c r="BM7" s="23" t="s">
        <v>38</v>
      </c>
      <c r="BN7" s="23" t="s">
        <v>38</v>
      </c>
      <c r="BO7" s="23" t="s">
        <v>38</v>
      </c>
      <c r="BP7" s="23" t="s">
        <v>38</v>
      </c>
      <c r="BQ7" s="23" t="s">
        <v>38</v>
      </c>
      <c r="BR7" s="23" t="s">
        <v>38</v>
      </c>
      <c r="BS7" s="23" t="s">
        <v>38</v>
      </c>
      <c r="BT7" s="23" t="s">
        <v>38</v>
      </c>
      <c r="BU7" s="23" t="s">
        <v>38</v>
      </c>
      <c r="BV7" s="23" t="s">
        <v>38</v>
      </c>
      <c r="BW7" s="23" t="s">
        <v>38</v>
      </c>
      <c r="BX7" s="23" t="s">
        <v>38</v>
      </c>
      <c r="BY7" s="69" t="s">
        <v>38</v>
      </c>
      <c r="BZ7" s="69" t="s">
        <v>38</v>
      </c>
      <c r="CA7" s="86" t="s">
        <v>38</v>
      </c>
    </row>
    <row r="8" spans="1:79">
      <c r="A8" s="21" t="s">
        <v>6</v>
      </c>
      <c r="B8" s="82">
        <v>254476.14911900001</v>
      </c>
      <c r="C8" s="82">
        <v>4505545.3174999999</v>
      </c>
      <c r="D8" s="19" t="s">
        <v>38</v>
      </c>
      <c r="E8" s="19" t="s">
        <v>38</v>
      </c>
      <c r="F8" s="19" t="s">
        <v>38</v>
      </c>
      <c r="G8" s="19" t="s">
        <v>38</v>
      </c>
      <c r="H8" s="19" t="s">
        <v>38</v>
      </c>
      <c r="I8" s="19" t="s">
        <v>38</v>
      </c>
      <c r="J8" s="19" t="s">
        <v>38</v>
      </c>
      <c r="K8" s="19" t="s">
        <v>38</v>
      </c>
      <c r="L8" s="19" t="s">
        <v>38</v>
      </c>
      <c r="M8" s="19" t="s">
        <v>38</v>
      </c>
      <c r="N8" s="23" t="s">
        <v>38</v>
      </c>
      <c r="O8" s="23" t="s">
        <v>38</v>
      </c>
      <c r="P8" s="23" t="s">
        <v>38</v>
      </c>
      <c r="Q8" s="23" t="s">
        <v>38</v>
      </c>
      <c r="R8" s="23" t="s">
        <v>38</v>
      </c>
      <c r="S8" s="23" t="s">
        <v>38</v>
      </c>
      <c r="T8" s="23" t="s">
        <v>38</v>
      </c>
      <c r="U8" s="23" t="s">
        <v>38</v>
      </c>
      <c r="V8" s="23" t="s">
        <v>38</v>
      </c>
      <c r="W8" s="23" t="s">
        <v>38</v>
      </c>
      <c r="X8" s="23" t="s">
        <v>38</v>
      </c>
      <c r="Y8" s="23" t="s">
        <v>38</v>
      </c>
      <c r="Z8" s="23" t="s">
        <v>38</v>
      </c>
      <c r="AA8" s="23" t="s">
        <v>38</v>
      </c>
      <c r="AB8" s="23" t="s">
        <v>38</v>
      </c>
      <c r="AC8" s="23" t="s">
        <v>38</v>
      </c>
      <c r="AD8" s="23" t="s">
        <v>38</v>
      </c>
      <c r="AE8" s="23" t="s">
        <v>38</v>
      </c>
      <c r="AF8" s="23" t="s">
        <v>38</v>
      </c>
      <c r="AG8" s="23" t="s">
        <v>38</v>
      </c>
      <c r="AH8" s="23" t="s">
        <v>38</v>
      </c>
      <c r="AI8" s="23" t="s">
        <v>38</v>
      </c>
      <c r="AJ8" s="23" t="s">
        <v>38</v>
      </c>
      <c r="AK8" s="23" t="s">
        <v>38</v>
      </c>
      <c r="AL8" s="23" t="s">
        <v>38</v>
      </c>
      <c r="AM8" s="23" t="s">
        <v>38</v>
      </c>
      <c r="AN8" s="23" t="s">
        <v>38</v>
      </c>
      <c r="AO8" s="23" t="s">
        <v>38</v>
      </c>
      <c r="AP8" s="23" t="s">
        <v>38</v>
      </c>
      <c r="AQ8" s="23" t="s">
        <v>38</v>
      </c>
      <c r="AR8" s="23" t="s">
        <v>38</v>
      </c>
      <c r="AS8" s="23" t="s">
        <v>38</v>
      </c>
      <c r="AT8" s="23" t="s">
        <v>38</v>
      </c>
      <c r="AU8" s="23" t="s">
        <v>38</v>
      </c>
      <c r="AV8" s="23" t="s">
        <v>38</v>
      </c>
      <c r="AW8" s="23" t="s">
        <v>38</v>
      </c>
      <c r="AX8" s="23" t="s">
        <v>38</v>
      </c>
      <c r="AY8" s="23" t="s">
        <v>38</v>
      </c>
      <c r="AZ8" s="23" t="s">
        <v>38</v>
      </c>
      <c r="BA8" s="23" t="s">
        <v>38</v>
      </c>
      <c r="BB8" s="23" t="s">
        <v>38</v>
      </c>
      <c r="BC8" s="23" t="s">
        <v>38</v>
      </c>
      <c r="BD8" s="23" t="s">
        <v>38</v>
      </c>
      <c r="BE8" s="23" t="s">
        <v>38</v>
      </c>
      <c r="BF8" s="23" t="s">
        <v>38</v>
      </c>
      <c r="BG8" s="23" t="s">
        <v>38</v>
      </c>
      <c r="BH8" s="23" t="s">
        <v>38</v>
      </c>
      <c r="BI8" s="23" t="s">
        <v>38</v>
      </c>
      <c r="BJ8" s="23" t="s">
        <v>38</v>
      </c>
      <c r="BK8" s="23" t="s">
        <v>38</v>
      </c>
      <c r="BL8" s="23" t="s">
        <v>38</v>
      </c>
      <c r="BM8" s="23" t="s">
        <v>38</v>
      </c>
      <c r="BN8" s="23" t="s">
        <v>38</v>
      </c>
      <c r="BO8" s="23" t="s">
        <v>38</v>
      </c>
      <c r="BP8" s="23" t="s">
        <v>38</v>
      </c>
      <c r="BQ8" s="23" t="s">
        <v>38</v>
      </c>
      <c r="BR8" s="23" t="s">
        <v>38</v>
      </c>
      <c r="BS8" s="23" t="s">
        <v>38</v>
      </c>
      <c r="BT8" s="23" t="s">
        <v>38</v>
      </c>
      <c r="BU8" s="23" t="s">
        <v>38</v>
      </c>
      <c r="BV8" s="23" t="s">
        <v>38</v>
      </c>
      <c r="BW8" s="23" t="s">
        <v>38</v>
      </c>
      <c r="BX8" s="23" t="s">
        <v>38</v>
      </c>
      <c r="BY8" s="69" t="s">
        <v>38</v>
      </c>
      <c r="BZ8" s="69" t="s">
        <v>38</v>
      </c>
      <c r="CA8" s="86" t="s">
        <v>38</v>
      </c>
    </row>
    <row r="9" spans="1:79">
      <c r="A9" s="21" t="s">
        <v>7</v>
      </c>
      <c r="B9" s="82">
        <v>254480.78639699999</v>
      </c>
      <c r="C9" s="82">
        <v>4505534.9529600004</v>
      </c>
      <c r="D9" s="19" t="s">
        <v>38</v>
      </c>
      <c r="E9" s="19" t="s">
        <v>38</v>
      </c>
      <c r="F9" s="19" t="s">
        <v>38</v>
      </c>
      <c r="G9" s="19" t="s">
        <v>38</v>
      </c>
      <c r="H9" s="19" t="s">
        <v>38</v>
      </c>
      <c r="I9" s="19" t="s">
        <v>38</v>
      </c>
      <c r="J9" s="19" t="s">
        <v>38</v>
      </c>
      <c r="K9" s="19" t="s">
        <v>38</v>
      </c>
      <c r="L9" s="19" t="s">
        <v>38</v>
      </c>
      <c r="M9" s="19" t="s">
        <v>38</v>
      </c>
      <c r="N9" s="23" t="s">
        <v>38</v>
      </c>
      <c r="O9" s="23" t="s">
        <v>38</v>
      </c>
      <c r="P9" s="23" t="s">
        <v>38</v>
      </c>
      <c r="Q9" s="23" t="s">
        <v>38</v>
      </c>
      <c r="R9" s="23" t="s">
        <v>38</v>
      </c>
      <c r="S9" s="23" t="s">
        <v>38</v>
      </c>
      <c r="T9" s="23" t="s">
        <v>38</v>
      </c>
      <c r="U9" s="23" t="s">
        <v>38</v>
      </c>
      <c r="V9" s="23" t="s">
        <v>38</v>
      </c>
      <c r="W9" s="23" t="s">
        <v>38</v>
      </c>
      <c r="X9" s="23" t="s">
        <v>38</v>
      </c>
      <c r="Y9" s="23" t="s">
        <v>38</v>
      </c>
      <c r="Z9" s="23" t="s">
        <v>38</v>
      </c>
      <c r="AA9" s="23" t="s">
        <v>38</v>
      </c>
      <c r="AB9" s="23" t="s">
        <v>38</v>
      </c>
      <c r="AC9" s="23" t="s">
        <v>38</v>
      </c>
      <c r="AD9" s="23" t="s">
        <v>38</v>
      </c>
      <c r="AE9" s="23" t="s">
        <v>38</v>
      </c>
      <c r="AF9" s="23" t="s">
        <v>38</v>
      </c>
      <c r="AG9" s="23" t="s">
        <v>38</v>
      </c>
      <c r="AH9" s="23" t="s">
        <v>38</v>
      </c>
      <c r="AI9" s="23" t="s">
        <v>38</v>
      </c>
      <c r="AJ9" s="23" t="s">
        <v>38</v>
      </c>
      <c r="AK9" s="23" t="s">
        <v>38</v>
      </c>
      <c r="AL9" s="23" t="s">
        <v>38</v>
      </c>
      <c r="AM9" s="23" t="s">
        <v>38</v>
      </c>
      <c r="AN9" s="23" t="s">
        <v>38</v>
      </c>
      <c r="AO9" s="23" t="s">
        <v>38</v>
      </c>
      <c r="AP9" s="23" t="s">
        <v>38</v>
      </c>
      <c r="AQ9" s="23" t="s">
        <v>38</v>
      </c>
      <c r="AR9" s="23" t="s">
        <v>38</v>
      </c>
      <c r="AS9" s="23" t="s">
        <v>38</v>
      </c>
      <c r="AT9" s="23" t="s">
        <v>38</v>
      </c>
      <c r="AU9" s="23" t="s">
        <v>38</v>
      </c>
      <c r="AV9" s="23" t="s">
        <v>38</v>
      </c>
      <c r="AW9" s="23" t="s">
        <v>38</v>
      </c>
      <c r="AX9" s="23" t="s">
        <v>38</v>
      </c>
      <c r="AY9" s="23" t="s">
        <v>38</v>
      </c>
      <c r="AZ9" s="23" t="s">
        <v>38</v>
      </c>
      <c r="BA9" s="23" t="s">
        <v>38</v>
      </c>
      <c r="BB9" s="23" t="s">
        <v>38</v>
      </c>
      <c r="BC9" s="23" t="s">
        <v>38</v>
      </c>
      <c r="BD9" s="23" t="s">
        <v>38</v>
      </c>
      <c r="BE9" s="23" t="s">
        <v>38</v>
      </c>
      <c r="BF9" s="23" t="s">
        <v>38</v>
      </c>
      <c r="BG9" s="23" t="s">
        <v>38</v>
      </c>
      <c r="BH9" s="23" t="s">
        <v>38</v>
      </c>
      <c r="BI9" s="23" t="s">
        <v>38</v>
      </c>
      <c r="BJ9" s="23" t="s">
        <v>38</v>
      </c>
      <c r="BK9" s="23" t="s">
        <v>38</v>
      </c>
      <c r="BL9" s="23" t="s">
        <v>38</v>
      </c>
      <c r="BM9" s="23" t="s">
        <v>38</v>
      </c>
      <c r="BN9" s="23" t="s">
        <v>38</v>
      </c>
      <c r="BO9" s="23" t="s">
        <v>38</v>
      </c>
      <c r="BP9" s="23" t="s">
        <v>38</v>
      </c>
      <c r="BQ9" s="23" t="s">
        <v>38</v>
      </c>
      <c r="BR9" s="23" t="s">
        <v>38</v>
      </c>
      <c r="BS9" s="23" t="s">
        <v>38</v>
      </c>
      <c r="BT9" s="23" t="s">
        <v>38</v>
      </c>
      <c r="BU9" s="23" t="s">
        <v>38</v>
      </c>
      <c r="BV9" s="23" t="s">
        <v>38</v>
      </c>
      <c r="BW9" s="23" t="s">
        <v>38</v>
      </c>
      <c r="BX9" s="23" t="s">
        <v>38</v>
      </c>
      <c r="BY9" s="69" t="s">
        <v>38</v>
      </c>
      <c r="BZ9" s="69" t="s">
        <v>38</v>
      </c>
      <c r="CA9" s="86" t="s">
        <v>38</v>
      </c>
    </row>
    <row r="10" spans="1:79">
      <c r="A10" s="21" t="s">
        <v>8</v>
      </c>
      <c r="B10" s="83">
        <v>254482.79284800001</v>
      </c>
      <c r="C10" s="83">
        <v>4505529.4775599996</v>
      </c>
      <c r="D10" s="19" t="s">
        <v>38</v>
      </c>
      <c r="E10" s="19" t="s">
        <v>38</v>
      </c>
      <c r="F10" s="19" t="s">
        <v>38</v>
      </c>
      <c r="G10" s="19" t="s">
        <v>38</v>
      </c>
      <c r="H10" s="19" t="s">
        <v>38</v>
      </c>
      <c r="I10" s="19" t="s">
        <v>38</v>
      </c>
      <c r="J10" s="19" t="s">
        <v>38</v>
      </c>
      <c r="K10" s="19" t="s">
        <v>38</v>
      </c>
      <c r="L10" s="19" t="s">
        <v>38</v>
      </c>
      <c r="M10" s="19" t="s">
        <v>38</v>
      </c>
      <c r="N10" s="23" t="s">
        <v>38</v>
      </c>
      <c r="O10" s="23" t="s">
        <v>38</v>
      </c>
      <c r="P10" s="23" t="s">
        <v>38</v>
      </c>
      <c r="Q10" s="23" t="s">
        <v>38</v>
      </c>
      <c r="R10" s="23" t="s">
        <v>38</v>
      </c>
      <c r="S10" s="23" t="s">
        <v>38</v>
      </c>
      <c r="T10" s="23" t="s">
        <v>38</v>
      </c>
      <c r="U10" s="23" t="s">
        <v>38</v>
      </c>
      <c r="V10" s="23" t="s">
        <v>38</v>
      </c>
      <c r="W10" s="23" t="s">
        <v>38</v>
      </c>
      <c r="X10" s="23" t="s">
        <v>38</v>
      </c>
      <c r="Y10" s="23" t="s">
        <v>38</v>
      </c>
      <c r="Z10" s="23" t="s">
        <v>38</v>
      </c>
      <c r="AA10" s="23" t="s">
        <v>38</v>
      </c>
      <c r="AB10" s="23" t="s">
        <v>38</v>
      </c>
      <c r="AC10" s="23" t="s">
        <v>38</v>
      </c>
      <c r="AD10" s="23" t="s">
        <v>38</v>
      </c>
      <c r="AE10" s="23" t="s">
        <v>38</v>
      </c>
      <c r="AF10" s="23" t="s">
        <v>38</v>
      </c>
      <c r="AG10" s="23" t="s">
        <v>38</v>
      </c>
      <c r="AH10" s="23" t="s">
        <v>38</v>
      </c>
      <c r="AI10" s="23" t="s">
        <v>38</v>
      </c>
      <c r="AJ10" s="23" t="s">
        <v>38</v>
      </c>
      <c r="AK10" s="23" t="s">
        <v>38</v>
      </c>
      <c r="AL10" s="23" t="s">
        <v>38</v>
      </c>
      <c r="AM10" s="23" t="s">
        <v>38</v>
      </c>
      <c r="AN10" s="23" t="s">
        <v>38</v>
      </c>
      <c r="AO10" s="23" t="s">
        <v>38</v>
      </c>
      <c r="AP10" s="23" t="s">
        <v>38</v>
      </c>
      <c r="AQ10" s="23" t="s">
        <v>38</v>
      </c>
      <c r="AR10" s="23" t="s">
        <v>38</v>
      </c>
      <c r="AS10" s="23" t="s">
        <v>38</v>
      </c>
      <c r="AT10" s="23" t="s">
        <v>38</v>
      </c>
      <c r="AU10" s="23" t="s">
        <v>38</v>
      </c>
      <c r="AV10" s="23" t="s">
        <v>38</v>
      </c>
      <c r="AW10" s="23" t="s">
        <v>38</v>
      </c>
      <c r="AX10" s="23" t="s">
        <v>38</v>
      </c>
      <c r="AY10" s="23" t="s">
        <v>38</v>
      </c>
      <c r="AZ10" s="23" t="s">
        <v>38</v>
      </c>
      <c r="BA10" s="23" t="s">
        <v>38</v>
      </c>
      <c r="BB10" s="23" t="s">
        <v>38</v>
      </c>
      <c r="BC10" s="23" t="s">
        <v>38</v>
      </c>
      <c r="BD10" s="23" t="s">
        <v>38</v>
      </c>
      <c r="BE10" s="23" t="s">
        <v>38</v>
      </c>
      <c r="BF10" s="23" t="s">
        <v>38</v>
      </c>
      <c r="BG10" s="23" t="s">
        <v>38</v>
      </c>
      <c r="BH10" s="23" t="s">
        <v>38</v>
      </c>
      <c r="BI10" s="23" t="s">
        <v>38</v>
      </c>
      <c r="BJ10" s="23" t="s">
        <v>38</v>
      </c>
      <c r="BK10" s="23" t="s">
        <v>38</v>
      </c>
      <c r="BL10" s="23" t="s">
        <v>38</v>
      </c>
      <c r="BM10" s="23" t="s">
        <v>38</v>
      </c>
      <c r="BN10" s="23" t="s">
        <v>38</v>
      </c>
      <c r="BO10" s="23" t="s">
        <v>38</v>
      </c>
      <c r="BP10" s="23" t="s">
        <v>38</v>
      </c>
      <c r="BQ10" s="23" t="s">
        <v>38</v>
      </c>
      <c r="BR10" s="23" t="s">
        <v>38</v>
      </c>
      <c r="BS10" s="23" t="s">
        <v>38</v>
      </c>
      <c r="BT10" s="23" t="s">
        <v>38</v>
      </c>
      <c r="BU10" s="23" t="s">
        <v>38</v>
      </c>
      <c r="BV10" s="23" t="s">
        <v>38</v>
      </c>
      <c r="BW10" s="23" t="s">
        <v>38</v>
      </c>
      <c r="BX10" s="23" t="s">
        <v>38</v>
      </c>
      <c r="BY10" s="69" t="s">
        <v>38</v>
      </c>
      <c r="BZ10" s="69" t="s">
        <v>38</v>
      </c>
      <c r="CA10" s="86" t="s">
        <v>38</v>
      </c>
    </row>
    <row r="11" spans="1:79">
      <c r="A11" s="21" t="s">
        <v>9</v>
      </c>
      <c r="B11" s="83">
        <v>254484.75221499999</v>
      </c>
      <c r="C11" s="83">
        <v>4505526.81066</v>
      </c>
      <c r="D11" s="19" t="s">
        <v>38</v>
      </c>
      <c r="E11" s="19" t="s">
        <v>38</v>
      </c>
      <c r="F11" s="19" t="s">
        <v>38</v>
      </c>
      <c r="G11" s="19" t="s">
        <v>38</v>
      </c>
      <c r="H11" s="19" t="s">
        <v>38</v>
      </c>
      <c r="I11" s="19" t="s">
        <v>38</v>
      </c>
      <c r="J11" s="19" t="s">
        <v>38</v>
      </c>
      <c r="K11" s="19" t="s">
        <v>38</v>
      </c>
      <c r="L11" s="19" t="s">
        <v>38</v>
      </c>
      <c r="M11" s="19" t="s">
        <v>38</v>
      </c>
      <c r="N11" s="23" t="s">
        <v>38</v>
      </c>
      <c r="O11" s="23" t="s">
        <v>38</v>
      </c>
      <c r="P11" s="23" t="s">
        <v>38</v>
      </c>
      <c r="Q11" s="23" t="s">
        <v>38</v>
      </c>
      <c r="R11" s="23" t="s">
        <v>38</v>
      </c>
      <c r="S11" s="23" t="s">
        <v>38</v>
      </c>
      <c r="T11" s="23" t="s">
        <v>38</v>
      </c>
      <c r="U11" s="23" t="s">
        <v>38</v>
      </c>
      <c r="V11" s="23" t="s">
        <v>38</v>
      </c>
      <c r="W11" s="23" t="s">
        <v>38</v>
      </c>
      <c r="X11" s="23" t="s">
        <v>38</v>
      </c>
      <c r="Y11" s="23" t="s">
        <v>38</v>
      </c>
      <c r="Z11" s="23" t="s">
        <v>38</v>
      </c>
      <c r="AA11" s="23" t="s">
        <v>38</v>
      </c>
      <c r="AB11" s="23" t="s">
        <v>38</v>
      </c>
      <c r="AC11" s="23" t="s">
        <v>38</v>
      </c>
      <c r="AD11" s="23" t="s">
        <v>38</v>
      </c>
      <c r="AE11" s="23" t="s">
        <v>38</v>
      </c>
      <c r="AF11" s="23" t="s">
        <v>38</v>
      </c>
      <c r="AG11" s="23" t="s">
        <v>38</v>
      </c>
      <c r="AH11" s="23" t="s">
        <v>38</v>
      </c>
      <c r="AI11" s="23" t="s">
        <v>38</v>
      </c>
      <c r="AJ11" s="23" t="s">
        <v>38</v>
      </c>
      <c r="AK11" s="23" t="s">
        <v>38</v>
      </c>
      <c r="AL11" s="23" t="s">
        <v>38</v>
      </c>
      <c r="AM11" s="23" t="s">
        <v>38</v>
      </c>
      <c r="AN11" s="23" t="s">
        <v>38</v>
      </c>
      <c r="AO11" s="23" t="s">
        <v>38</v>
      </c>
      <c r="AP11" s="23" t="s">
        <v>38</v>
      </c>
      <c r="AQ11" s="23" t="s">
        <v>38</v>
      </c>
      <c r="AR11" s="23" t="s">
        <v>38</v>
      </c>
      <c r="AS11" s="23" t="s">
        <v>38</v>
      </c>
      <c r="AT11" s="23" t="s">
        <v>38</v>
      </c>
      <c r="AU11" s="23" t="s">
        <v>38</v>
      </c>
      <c r="AV11" s="23" t="s">
        <v>38</v>
      </c>
      <c r="AW11" s="23" t="s">
        <v>38</v>
      </c>
      <c r="AX11" s="23" t="s">
        <v>38</v>
      </c>
      <c r="AY11" s="23" t="s">
        <v>38</v>
      </c>
      <c r="AZ11" s="23" t="s">
        <v>38</v>
      </c>
      <c r="BA11" s="23" t="s">
        <v>38</v>
      </c>
      <c r="BB11" s="23" t="s">
        <v>38</v>
      </c>
      <c r="BC11" s="23" t="s">
        <v>38</v>
      </c>
      <c r="BD11" s="23" t="s">
        <v>38</v>
      </c>
      <c r="BE11" s="23" t="s">
        <v>38</v>
      </c>
      <c r="BF11" s="23" t="s">
        <v>38</v>
      </c>
      <c r="BG11" s="23" t="s">
        <v>38</v>
      </c>
      <c r="BH11" s="23" t="s">
        <v>38</v>
      </c>
      <c r="BI11" s="23" t="s">
        <v>38</v>
      </c>
      <c r="BJ11" s="23" t="s">
        <v>38</v>
      </c>
      <c r="BK11" s="23" t="s">
        <v>38</v>
      </c>
      <c r="BL11" s="23" t="s">
        <v>38</v>
      </c>
      <c r="BM11" s="23" t="s">
        <v>38</v>
      </c>
      <c r="BN11" s="23" t="s">
        <v>38</v>
      </c>
      <c r="BO11" s="23" t="s">
        <v>38</v>
      </c>
      <c r="BP11" s="23" t="s">
        <v>38</v>
      </c>
      <c r="BQ11" s="23" t="s">
        <v>38</v>
      </c>
      <c r="BR11" s="23" t="s">
        <v>38</v>
      </c>
      <c r="BS11" s="23" t="s">
        <v>38</v>
      </c>
      <c r="BT11" s="23" t="s">
        <v>38</v>
      </c>
      <c r="BU11" s="23" t="s">
        <v>38</v>
      </c>
      <c r="BV11" s="23" t="s">
        <v>38</v>
      </c>
      <c r="BW11" s="23" t="s">
        <v>38</v>
      </c>
      <c r="BX11" s="23" t="s">
        <v>38</v>
      </c>
      <c r="BY11" s="69" t="s">
        <v>38</v>
      </c>
      <c r="BZ11" s="69" t="s">
        <v>38</v>
      </c>
      <c r="CA11" s="86" t="s">
        <v>38</v>
      </c>
    </row>
    <row r="12" spans="1:79">
      <c r="A12" s="21">
        <v>1</v>
      </c>
      <c r="B12" s="83">
        <v>254273.42219000001</v>
      </c>
      <c r="C12" s="83">
        <v>4505589.5737600001</v>
      </c>
      <c r="D12" s="19" t="s">
        <v>38</v>
      </c>
      <c r="E12" s="19" t="s">
        <v>38</v>
      </c>
      <c r="F12" s="19" t="s">
        <v>38</v>
      </c>
      <c r="G12" s="19" t="s">
        <v>38</v>
      </c>
      <c r="H12" s="19" t="s">
        <v>38</v>
      </c>
      <c r="I12" s="19" t="s">
        <v>38</v>
      </c>
      <c r="J12" s="19" t="s">
        <v>38</v>
      </c>
      <c r="K12" s="19" t="s">
        <v>38</v>
      </c>
      <c r="L12" s="19" t="s">
        <v>38</v>
      </c>
      <c r="M12" s="19" t="s">
        <v>38</v>
      </c>
      <c r="N12" s="23" t="s">
        <v>38</v>
      </c>
      <c r="O12" s="23" t="s">
        <v>38</v>
      </c>
      <c r="P12" s="23" t="s">
        <v>38</v>
      </c>
      <c r="Q12" s="23" t="s">
        <v>38</v>
      </c>
      <c r="R12" s="23" t="s">
        <v>38</v>
      </c>
      <c r="S12" s="23" t="s">
        <v>38</v>
      </c>
      <c r="T12" s="23" t="s">
        <v>38</v>
      </c>
      <c r="U12" s="23" t="s">
        <v>38</v>
      </c>
      <c r="V12" s="23" t="s">
        <v>38</v>
      </c>
      <c r="W12" s="23" t="s">
        <v>38</v>
      </c>
      <c r="X12" s="23" t="s">
        <v>38</v>
      </c>
      <c r="Y12" s="23" t="s">
        <v>38</v>
      </c>
      <c r="Z12" s="23" t="s">
        <v>38</v>
      </c>
      <c r="AA12" s="23" t="s">
        <v>38</v>
      </c>
      <c r="AB12" s="23" t="s">
        <v>38</v>
      </c>
      <c r="AC12" s="23" t="s">
        <v>38</v>
      </c>
      <c r="AD12" s="23" t="s">
        <v>38</v>
      </c>
      <c r="AE12" s="23" t="s">
        <v>38</v>
      </c>
      <c r="AF12" s="23" t="s">
        <v>38</v>
      </c>
      <c r="AG12" s="23" t="s">
        <v>38</v>
      </c>
      <c r="AH12" s="23" t="s">
        <v>38</v>
      </c>
      <c r="AI12" s="23" t="s">
        <v>38</v>
      </c>
      <c r="AJ12" s="23" t="s">
        <v>38</v>
      </c>
      <c r="AK12" s="23" t="s">
        <v>38</v>
      </c>
      <c r="AL12" s="23" t="s">
        <v>38</v>
      </c>
      <c r="AM12" s="23" t="s">
        <v>38</v>
      </c>
      <c r="AN12" s="23" t="s">
        <v>38</v>
      </c>
      <c r="AO12" s="23" t="s">
        <v>38</v>
      </c>
      <c r="AP12" s="23" t="s">
        <v>38</v>
      </c>
      <c r="AQ12" s="23" t="s">
        <v>38</v>
      </c>
      <c r="AR12" s="23" t="s">
        <v>38</v>
      </c>
      <c r="AS12" s="23" t="s">
        <v>38</v>
      </c>
      <c r="AT12" s="23" t="s">
        <v>38</v>
      </c>
      <c r="AU12" s="23" t="s">
        <v>38</v>
      </c>
      <c r="AV12" s="23" t="s">
        <v>38</v>
      </c>
      <c r="AW12" s="23" t="s">
        <v>38</v>
      </c>
      <c r="AX12" s="23" t="s">
        <v>38</v>
      </c>
      <c r="AY12" s="23" t="s">
        <v>38</v>
      </c>
      <c r="AZ12" s="23" t="s">
        <v>38</v>
      </c>
      <c r="BA12" s="23" t="s">
        <v>38</v>
      </c>
      <c r="BB12" s="23" t="s">
        <v>38</v>
      </c>
      <c r="BC12" s="23" t="s">
        <v>38</v>
      </c>
      <c r="BD12" s="23" t="s">
        <v>38</v>
      </c>
      <c r="BE12" s="23" t="s">
        <v>38</v>
      </c>
      <c r="BF12" s="23" t="s">
        <v>38</v>
      </c>
      <c r="BG12" s="23" t="s">
        <v>38</v>
      </c>
      <c r="BH12" s="23" t="s">
        <v>38</v>
      </c>
      <c r="BI12" s="23" t="s">
        <v>38</v>
      </c>
      <c r="BJ12" s="23" t="s">
        <v>38</v>
      </c>
      <c r="BK12" s="23" t="s">
        <v>38</v>
      </c>
      <c r="BL12" s="23" t="s">
        <v>38</v>
      </c>
      <c r="BM12" s="23" t="s">
        <v>38</v>
      </c>
      <c r="BN12" s="23" t="s">
        <v>38</v>
      </c>
      <c r="BO12" s="23" t="s">
        <v>38</v>
      </c>
      <c r="BP12" s="23" t="s">
        <v>38</v>
      </c>
      <c r="BQ12" s="23" t="s">
        <v>38</v>
      </c>
      <c r="BR12" s="23" t="s">
        <v>38</v>
      </c>
      <c r="BS12" s="23" t="s">
        <v>38</v>
      </c>
      <c r="BT12" s="23" t="s">
        <v>38</v>
      </c>
      <c r="BU12" s="23" t="s">
        <v>38</v>
      </c>
      <c r="BV12" s="23" t="s">
        <v>38</v>
      </c>
      <c r="BW12" s="23" t="s">
        <v>38</v>
      </c>
      <c r="BX12" s="23" t="s">
        <v>38</v>
      </c>
      <c r="BY12" s="69" t="s">
        <v>38</v>
      </c>
      <c r="BZ12" s="69" t="s">
        <v>38</v>
      </c>
      <c r="CA12" s="86" t="s">
        <v>38</v>
      </c>
    </row>
    <row r="13" spans="1:79">
      <c r="A13" s="21">
        <v>2</v>
      </c>
      <c r="B13" s="83">
        <v>254268.40893599999</v>
      </c>
      <c r="C13" s="83">
        <v>4505552.5855400003</v>
      </c>
      <c r="D13" s="19" t="s">
        <v>38</v>
      </c>
      <c r="E13" s="19" t="s">
        <v>38</v>
      </c>
      <c r="F13" s="19" t="s">
        <v>38</v>
      </c>
      <c r="G13" s="19" t="s">
        <v>38</v>
      </c>
      <c r="H13" s="19" t="s">
        <v>38</v>
      </c>
      <c r="I13" s="19" t="s">
        <v>38</v>
      </c>
      <c r="J13" s="19" t="s">
        <v>38</v>
      </c>
      <c r="K13" s="19" t="s">
        <v>38</v>
      </c>
      <c r="L13" s="19" t="s">
        <v>38</v>
      </c>
      <c r="M13" s="19" t="s">
        <v>38</v>
      </c>
      <c r="N13" s="23" t="s">
        <v>38</v>
      </c>
      <c r="O13" s="23" t="s">
        <v>38</v>
      </c>
      <c r="P13" s="23" t="s">
        <v>38</v>
      </c>
      <c r="Q13" s="23" t="s">
        <v>38</v>
      </c>
      <c r="R13" s="23" t="s">
        <v>38</v>
      </c>
      <c r="S13" s="23" t="s">
        <v>38</v>
      </c>
      <c r="T13" s="23" t="s">
        <v>38</v>
      </c>
      <c r="U13" s="23" t="s">
        <v>38</v>
      </c>
      <c r="V13" s="23" t="s">
        <v>38</v>
      </c>
      <c r="W13" s="23" t="s">
        <v>38</v>
      </c>
      <c r="X13" s="23" t="s">
        <v>38</v>
      </c>
      <c r="Y13" s="23" t="s">
        <v>38</v>
      </c>
      <c r="Z13" s="23" t="s">
        <v>38</v>
      </c>
      <c r="AA13" s="23" t="s">
        <v>38</v>
      </c>
      <c r="AB13" s="23" t="s">
        <v>38</v>
      </c>
      <c r="AC13" s="23" t="s">
        <v>38</v>
      </c>
      <c r="AD13" s="23" t="s">
        <v>38</v>
      </c>
      <c r="AE13" s="23" t="s">
        <v>38</v>
      </c>
      <c r="AF13" s="23" t="s">
        <v>38</v>
      </c>
      <c r="AG13" s="23" t="s">
        <v>38</v>
      </c>
      <c r="AH13" s="23" t="s">
        <v>38</v>
      </c>
      <c r="AI13" s="23" t="s">
        <v>38</v>
      </c>
      <c r="AJ13" s="23" t="s">
        <v>38</v>
      </c>
      <c r="AK13" s="23" t="s">
        <v>38</v>
      </c>
      <c r="AL13" s="23" t="s">
        <v>38</v>
      </c>
      <c r="AM13" s="23" t="s">
        <v>38</v>
      </c>
      <c r="AN13" s="23" t="s">
        <v>38</v>
      </c>
      <c r="AO13" s="23" t="s">
        <v>38</v>
      </c>
      <c r="AP13" s="23" t="s">
        <v>38</v>
      </c>
      <c r="AQ13" s="23" t="s">
        <v>38</v>
      </c>
      <c r="AR13" s="23" t="s">
        <v>38</v>
      </c>
      <c r="AS13" s="23" t="s">
        <v>38</v>
      </c>
      <c r="AT13" s="23" t="s">
        <v>38</v>
      </c>
      <c r="AU13" s="23" t="s">
        <v>38</v>
      </c>
      <c r="AV13" s="23" t="s">
        <v>38</v>
      </c>
      <c r="AW13" s="23" t="s">
        <v>38</v>
      </c>
      <c r="AX13" s="23" t="s">
        <v>38</v>
      </c>
      <c r="AY13" s="23" t="s">
        <v>38</v>
      </c>
      <c r="AZ13" s="23" t="s">
        <v>38</v>
      </c>
      <c r="BA13" s="23" t="s">
        <v>38</v>
      </c>
      <c r="BB13" s="23" t="s">
        <v>38</v>
      </c>
      <c r="BC13" s="23" t="s">
        <v>38</v>
      </c>
      <c r="BD13" s="23" t="s">
        <v>38</v>
      </c>
      <c r="BE13" s="23" t="s">
        <v>38</v>
      </c>
      <c r="BF13" s="23" t="s">
        <v>38</v>
      </c>
      <c r="BG13" s="23" t="s">
        <v>38</v>
      </c>
      <c r="BH13" s="23" t="s">
        <v>38</v>
      </c>
      <c r="BI13" s="23" t="s">
        <v>38</v>
      </c>
      <c r="BJ13" s="23" t="s">
        <v>38</v>
      </c>
      <c r="BK13" s="23" t="s">
        <v>38</v>
      </c>
      <c r="BL13" s="23" t="s">
        <v>38</v>
      </c>
      <c r="BM13" s="23" t="s">
        <v>38</v>
      </c>
      <c r="BN13" s="23" t="s">
        <v>38</v>
      </c>
      <c r="BO13" s="23" t="s">
        <v>38</v>
      </c>
      <c r="BP13" s="23" t="s">
        <v>38</v>
      </c>
      <c r="BQ13" s="23" t="s">
        <v>38</v>
      </c>
      <c r="BR13" s="23" t="s">
        <v>38</v>
      </c>
      <c r="BS13" s="23" t="s">
        <v>38</v>
      </c>
      <c r="BT13" s="23" t="s">
        <v>38</v>
      </c>
      <c r="BU13" s="23" t="s">
        <v>38</v>
      </c>
      <c r="BV13" s="23" t="s">
        <v>38</v>
      </c>
      <c r="BW13" s="23" t="s">
        <v>38</v>
      </c>
      <c r="BX13" s="23" t="s">
        <v>38</v>
      </c>
      <c r="BY13" s="69" t="s">
        <v>38</v>
      </c>
      <c r="BZ13" s="69" t="s">
        <v>38</v>
      </c>
      <c r="CA13" s="86" t="s">
        <v>38</v>
      </c>
    </row>
    <row r="14" spans="1:79">
      <c r="A14" s="21">
        <v>3</v>
      </c>
      <c r="B14" s="83">
        <v>254274.76034199999</v>
      </c>
      <c r="C14" s="83">
        <v>4505519.1361699998</v>
      </c>
      <c r="D14" s="19" t="s">
        <v>38</v>
      </c>
      <c r="E14" s="19" t="s">
        <v>38</v>
      </c>
      <c r="F14" s="19" t="s">
        <v>38</v>
      </c>
      <c r="G14" s="19" t="s">
        <v>38</v>
      </c>
      <c r="H14" s="19" t="s">
        <v>38</v>
      </c>
      <c r="I14" s="19" t="s">
        <v>38</v>
      </c>
      <c r="J14" s="19" t="s">
        <v>38</v>
      </c>
      <c r="K14" s="19" t="s">
        <v>38</v>
      </c>
      <c r="L14" s="19" t="s">
        <v>38</v>
      </c>
      <c r="M14" s="19" t="s">
        <v>38</v>
      </c>
      <c r="N14" s="23" t="s">
        <v>38</v>
      </c>
      <c r="O14" s="23" t="s">
        <v>38</v>
      </c>
      <c r="P14" s="23" t="s">
        <v>38</v>
      </c>
      <c r="Q14" s="23" t="s">
        <v>38</v>
      </c>
      <c r="R14" s="23" t="s">
        <v>38</v>
      </c>
      <c r="S14" s="23" t="s">
        <v>38</v>
      </c>
      <c r="T14" s="23" t="s">
        <v>38</v>
      </c>
      <c r="U14" s="23" t="s">
        <v>38</v>
      </c>
      <c r="V14" s="23" t="s">
        <v>38</v>
      </c>
      <c r="W14" s="23" t="s">
        <v>38</v>
      </c>
      <c r="X14" s="23" t="s">
        <v>38</v>
      </c>
      <c r="Y14" s="23" t="s">
        <v>38</v>
      </c>
      <c r="Z14" s="23" t="s">
        <v>38</v>
      </c>
      <c r="AA14" s="23" t="s">
        <v>38</v>
      </c>
      <c r="AB14" s="23" t="s">
        <v>38</v>
      </c>
      <c r="AC14" s="23" t="s">
        <v>38</v>
      </c>
      <c r="AD14" s="23" t="s">
        <v>38</v>
      </c>
      <c r="AE14" s="23" t="s">
        <v>38</v>
      </c>
      <c r="AF14" s="23" t="s">
        <v>38</v>
      </c>
      <c r="AG14" s="23" t="s">
        <v>38</v>
      </c>
      <c r="AH14" s="23" t="s">
        <v>38</v>
      </c>
      <c r="AI14" s="23" t="s">
        <v>38</v>
      </c>
      <c r="AJ14" s="23" t="s">
        <v>38</v>
      </c>
      <c r="AK14" s="23" t="s">
        <v>38</v>
      </c>
      <c r="AL14" s="23" t="s">
        <v>38</v>
      </c>
      <c r="AM14" s="23" t="s">
        <v>38</v>
      </c>
      <c r="AN14" s="23" t="s">
        <v>38</v>
      </c>
      <c r="AO14" s="23" t="s">
        <v>38</v>
      </c>
      <c r="AP14" s="23" t="s">
        <v>38</v>
      </c>
      <c r="AQ14" s="23" t="s">
        <v>38</v>
      </c>
      <c r="AR14" s="23" t="s">
        <v>38</v>
      </c>
      <c r="AS14" s="23" t="s">
        <v>38</v>
      </c>
      <c r="AT14" s="23" t="s">
        <v>38</v>
      </c>
      <c r="AU14" s="23" t="s">
        <v>38</v>
      </c>
      <c r="AV14" s="23" t="s">
        <v>38</v>
      </c>
      <c r="AW14" s="23" t="s">
        <v>38</v>
      </c>
      <c r="AX14" s="23" t="s">
        <v>38</v>
      </c>
      <c r="AY14" s="23" t="s">
        <v>38</v>
      </c>
      <c r="AZ14" s="23" t="s">
        <v>38</v>
      </c>
      <c r="BA14" s="23" t="s">
        <v>38</v>
      </c>
      <c r="BB14" s="23" t="s">
        <v>38</v>
      </c>
      <c r="BC14" s="23" t="s">
        <v>38</v>
      </c>
      <c r="BD14" s="23" t="s">
        <v>38</v>
      </c>
      <c r="BE14" s="23" t="s">
        <v>38</v>
      </c>
      <c r="BF14" s="23" t="s">
        <v>38</v>
      </c>
      <c r="BG14" s="23" t="s">
        <v>38</v>
      </c>
      <c r="BH14" s="23" t="s">
        <v>38</v>
      </c>
      <c r="BI14" s="23" t="s">
        <v>38</v>
      </c>
      <c r="BJ14" s="23" t="s">
        <v>38</v>
      </c>
      <c r="BK14" s="23" t="s">
        <v>38</v>
      </c>
      <c r="BL14" s="23" t="s">
        <v>38</v>
      </c>
      <c r="BM14" s="23" t="s">
        <v>38</v>
      </c>
      <c r="BN14" s="23" t="s">
        <v>38</v>
      </c>
      <c r="BO14" s="23" t="s">
        <v>38</v>
      </c>
      <c r="BP14" s="23" t="s">
        <v>38</v>
      </c>
      <c r="BQ14" s="23" t="s">
        <v>38</v>
      </c>
      <c r="BR14" s="23" t="s">
        <v>38</v>
      </c>
      <c r="BS14" s="23" t="s">
        <v>38</v>
      </c>
      <c r="BT14" s="23" t="s">
        <v>38</v>
      </c>
      <c r="BU14" s="23" t="s">
        <v>38</v>
      </c>
      <c r="BV14" s="23" t="s">
        <v>38</v>
      </c>
      <c r="BW14" s="23" t="s">
        <v>38</v>
      </c>
      <c r="BX14" s="23" t="s">
        <v>38</v>
      </c>
      <c r="BY14" s="69" t="s">
        <v>38</v>
      </c>
      <c r="BZ14" s="69" t="s">
        <v>38</v>
      </c>
      <c r="CA14" s="86" t="s">
        <v>38</v>
      </c>
    </row>
    <row r="15" spans="1:79">
      <c r="A15" s="21">
        <v>4</v>
      </c>
      <c r="B15" s="83">
        <v>254256.98182799999</v>
      </c>
      <c r="C15" s="83">
        <v>4505565.69778</v>
      </c>
      <c r="D15" s="19" t="s">
        <v>38</v>
      </c>
      <c r="E15" s="19" t="s">
        <v>38</v>
      </c>
      <c r="F15" s="19" t="s">
        <v>38</v>
      </c>
      <c r="G15" s="19" t="s">
        <v>38</v>
      </c>
      <c r="H15" s="19" t="s">
        <v>38</v>
      </c>
      <c r="I15" s="19" t="s">
        <v>38</v>
      </c>
      <c r="J15" s="19" t="s">
        <v>38</v>
      </c>
      <c r="K15" s="19" t="s">
        <v>38</v>
      </c>
      <c r="L15" s="19" t="s">
        <v>38</v>
      </c>
      <c r="M15" s="19" t="s">
        <v>38</v>
      </c>
      <c r="N15" s="23" t="s">
        <v>38</v>
      </c>
      <c r="O15" s="23" t="s">
        <v>38</v>
      </c>
      <c r="P15" s="23" t="s">
        <v>38</v>
      </c>
      <c r="Q15" s="23" t="s">
        <v>38</v>
      </c>
      <c r="R15" s="23" t="s">
        <v>38</v>
      </c>
      <c r="S15" s="23" t="s">
        <v>38</v>
      </c>
      <c r="T15" s="23" t="s">
        <v>38</v>
      </c>
      <c r="U15" s="23" t="s">
        <v>38</v>
      </c>
      <c r="V15" s="23" t="s">
        <v>38</v>
      </c>
      <c r="W15" s="23" t="s">
        <v>38</v>
      </c>
      <c r="X15" s="23" t="s">
        <v>38</v>
      </c>
      <c r="Y15" s="23" t="s">
        <v>38</v>
      </c>
      <c r="Z15" s="23" t="s">
        <v>38</v>
      </c>
      <c r="AA15" s="23" t="s">
        <v>38</v>
      </c>
      <c r="AB15" s="23" t="s">
        <v>38</v>
      </c>
      <c r="AC15" s="23" t="s">
        <v>38</v>
      </c>
      <c r="AD15" s="23" t="s">
        <v>38</v>
      </c>
      <c r="AE15" s="23" t="s">
        <v>38</v>
      </c>
      <c r="AF15" s="23" t="s">
        <v>38</v>
      </c>
      <c r="AG15" s="23" t="s">
        <v>38</v>
      </c>
      <c r="AH15" s="23" t="s">
        <v>38</v>
      </c>
      <c r="AI15" s="23" t="s">
        <v>38</v>
      </c>
      <c r="AJ15" s="23" t="s">
        <v>38</v>
      </c>
      <c r="AK15" s="23" t="s">
        <v>38</v>
      </c>
      <c r="AL15" s="23" t="s">
        <v>38</v>
      </c>
      <c r="AM15" s="23" t="s">
        <v>38</v>
      </c>
      <c r="AN15" s="23" t="s">
        <v>38</v>
      </c>
      <c r="AO15" s="23" t="s">
        <v>38</v>
      </c>
      <c r="AP15" s="23" t="s">
        <v>38</v>
      </c>
      <c r="AQ15" s="23" t="s">
        <v>38</v>
      </c>
      <c r="AR15" s="23" t="s">
        <v>38</v>
      </c>
      <c r="AS15" s="23" t="s">
        <v>38</v>
      </c>
      <c r="AT15" s="23" t="s">
        <v>38</v>
      </c>
      <c r="AU15" s="23" t="s">
        <v>38</v>
      </c>
      <c r="AV15" s="23" t="s">
        <v>38</v>
      </c>
      <c r="AW15" s="23" t="s">
        <v>38</v>
      </c>
      <c r="AX15" s="23" t="s">
        <v>38</v>
      </c>
      <c r="AY15" s="23" t="s">
        <v>38</v>
      </c>
      <c r="AZ15" s="23" t="s">
        <v>38</v>
      </c>
      <c r="BA15" s="23" t="s">
        <v>38</v>
      </c>
      <c r="BB15" s="23" t="s">
        <v>38</v>
      </c>
      <c r="BC15" s="23" t="s">
        <v>38</v>
      </c>
      <c r="BD15" s="23" t="s">
        <v>38</v>
      </c>
      <c r="BE15" s="23" t="s">
        <v>38</v>
      </c>
      <c r="BF15" s="23" t="s">
        <v>38</v>
      </c>
      <c r="BG15" s="23" t="s">
        <v>38</v>
      </c>
      <c r="BH15" s="23" t="s">
        <v>38</v>
      </c>
      <c r="BI15" s="23" t="s">
        <v>38</v>
      </c>
      <c r="BJ15" s="23" t="s">
        <v>38</v>
      </c>
      <c r="BK15" s="23" t="s">
        <v>38</v>
      </c>
      <c r="BL15" s="23" t="s">
        <v>38</v>
      </c>
      <c r="BM15" s="23" t="s">
        <v>38</v>
      </c>
      <c r="BN15" s="23" t="s">
        <v>38</v>
      </c>
      <c r="BO15" s="23" t="s">
        <v>38</v>
      </c>
      <c r="BP15" s="23" t="s">
        <v>38</v>
      </c>
      <c r="BQ15" s="23" t="s">
        <v>38</v>
      </c>
      <c r="BR15" s="23" t="s">
        <v>38</v>
      </c>
      <c r="BS15" s="23" t="s">
        <v>38</v>
      </c>
      <c r="BT15" s="23" t="s">
        <v>38</v>
      </c>
      <c r="BU15" s="23" t="s">
        <v>38</v>
      </c>
      <c r="BV15" s="23" t="s">
        <v>38</v>
      </c>
      <c r="BW15" s="23" t="s">
        <v>38</v>
      </c>
      <c r="BX15" s="23" t="s">
        <v>38</v>
      </c>
      <c r="BY15" s="69" t="s">
        <v>38</v>
      </c>
      <c r="BZ15" s="69" t="s">
        <v>38</v>
      </c>
      <c r="CA15" s="86" t="s">
        <v>38</v>
      </c>
    </row>
    <row r="16" spans="1:79">
      <c r="A16" s="21">
        <v>5</v>
      </c>
      <c r="B16" s="83">
        <v>254279.200835</v>
      </c>
      <c r="C16" s="83">
        <v>4505539.2380799996</v>
      </c>
      <c r="D16" s="19" t="s">
        <v>38</v>
      </c>
      <c r="E16" s="19" t="s">
        <v>38</v>
      </c>
      <c r="F16" s="19" t="s">
        <v>38</v>
      </c>
      <c r="G16" s="19" t="s">
        <v>38</v>
      </c>
      <c r="H16" s="19" t="s">
        <v>38</v>
      </c>
      <c r="I16" s="19" t="s">
        <v>38</v>
      </c>
      <c r="J16" s="19" t="s">
        <v>38</v>
      </c>
      <c r="K16" s="19" t="s">
        <v>38</v>
      </c>
      <c r="L16" s="19" t="s">
        <v>38</v>
      </c>
      <c r="M16" s="19" t="s">
        <v>38</v>
      </c>
      <c r="N16" s="23" t="s">
        <v>38</v>
      </c>
      <c r="O16" s="23" t="s">
        <v>38</v>
      </c>
      <c r="P16" s="23" t="s">
        <v>38</v>
      </c>
      <c r="Q16" s="23" t="s">
        <v>38</v>
      </c>
      <c r="R16" s="23" t="s">
        <v>38</v>
      </c>
      <c r="S16" s="23" t="s">
        <v>38</v>
      </c>
      <c r="T16" s="23" t="s">
        <v>38</v>
      </c>
      <c r="U16" s="23" t="s">
        <v>38</v>
      </c>
      <c r="V16" s="23" t="s">
        <v>38</v>
      </c>
      <c r="W16" s="23" t="s">
        <v>38</v>
      </c>
      <c r="X16" s="23" t="s">
        <v>38</v>
      </c>
      <c r="Y16" s="23" t="s">
        <v>38</v>
      </c>
      <c r="Z16" s="23" t="s">
        <v>38</v>
      </c>
      <c r="AA16" s="23" t="s">
        <v>38</v>
      </c>
      <c r="AB16" s="23" t="s">
        <v>38</v>
      </c>
      <c r="AC16" s="23" t="s">
        <v>38</v>
      </c>
      <c r="AD16" s="23" t="s">
        <v>38</v>
      </c>
      <c r="AE16" s="23" t="s">
        <v>38</v>
      </c>
      <c r="AF16" s="23" t="s">
        <v>38</v>
      </c>
      <c r="AG16" s="23" t="s">
        <v>38</v>
      </c>
      <c r="AH16" s="23" t="s">
        <v>38</v>
      </c>
      <c r="AI16" s="23" t="s">
        <v>38</v>
      </c>
      <c r="AJ16" s="23" t="s">
        <v>38</v>
      </c>
      <c r="AK16" s="23" t="s">
        <v>38</v>
      </c>
      <c r="AL16" s="23" t="s">
        <v>38</v>
      </c>
      <c r="AM16" s="23" t="s">
        <v>38</v>
      </c>
      <c r="AN16" s="23" t="s">
        <v>38</v>
      </c>
      <c r="AO16" s="23" t="s">
        <v>38</v>
      </c>
      <c r="AP16" s="23" t="s">
        <v>38</v>
      </c>
      <c r="AQ16" s="23" t="s">
        <v>38</v>
      </c>
      <c r="AR16" s="23" t="s">
        <v>38</v>
      </c>
      <c r="AS16" s="23" t="s">
        <v>38</v>
      </c>
      <c r="AT16" s="23" t="s">
        <v>38</v>
      </c>
      <c r="AU16" s="23" t="s">
        <v>38</v>
      </c>
      <c r="AV16" s="23" t="s">
        <v>38</v>
      </c>
      <c r="AW16" s="23" t="s">
        <v>38</v>
      </c>
      <c r="AX16" s="23" t="s">
        <v>38</v>
      </c>
      <c r="AY16" s="23" t="s">
        <v>38</v>
      </c>
      <c r="AZ16" s="23" t="s">
        <v>38</v>
      </c>
      <c r="BA16" s="23" t="s">
        <v>38</v>
      </c>
      <c r="BB16" s="23" t="s">
        <v>38</v>
      </c>
      <c r="BC16" s="23" t="s">
        <v>38</v>
      </c>
      <c r="BD16" s="23" t="s">
        <v>38</v>
      </c>
      <c r="BE16" s="23" t="s">
        <v>38</v>
      </c>
      <c r="BF16" s="23" t="s">
        <v>38</v>
      </c>
      <c r="BG16" s="23" t="s">
        <v>38</v>
      </c>
      <c r="BH16" s="23" t="s">
        <v>38</v>
      </c>
      <c r="BI16" s="23" t="s">
        <v>38</v>
      </c>
      <c r="BJ16" s="23" t="s">
        <v>38</v>
      </c>
      <c r="BK16" s="23" t="s">
        <v>38</v>
      </c>
      <c r="BL16" s="23" t="s">
        <v>38</v>
      </c>
      <c r="BM16" s="23" t="s">
        <v>38</v>
      </c>
      <c r="BN16" s="23" t="s">
        <v>38</v>
      </c>
      <c r="BO16" s="23" t="s">
        <v>38</v>
      </c>
      <c r="BP16" s="23" t="s">
        <v>38</v>
      </c>
      <c r="BQ16" s="23" t="s">
        <v>38</v>
      </c>
      <c r="BR16" s="23" t="s">
        <v>38</v>
      </c>
      <c r="BS16" s="23" t="s">
        <v>38</v>
      </c>
      <c r="BT16" s="23" t="s">
        <v>38</v>
      </c>
      <c r="BU16" s="23" t="s">
        <v>38</v>
      </c>
      <c r="BV16" s="23" t="s">
        <v>38</v>
      </c>
      <c r="BW16" s="23" t="s">
        <v>38</v>
      </c>
      <c r="BX16" s="23" t="s">
        <v>38</v>
      </c>
      <c r="BY16" s="69" t="s">
        <v>38</v>
      </c>
      <c r="BZ16" s="69" t="s">
        <v>38</v>
      </c>
      <c r="CA16" s="86" t="s">
        <v>38</v>
      </c>
    </row>
    <row r="17" spans="1:79">
      <c r="A17" s="21">
        <v>6</v>
      </c>
      <c r="B17" s="82">
        <v>254321.19506200001</v>
      </c>
      <c r="C17" s="82">
        <v>4505578.1072300002</v>
      </c>
      <c r="D17" s="19" t="s">
        <v>38</v>
      </c>
      <c r="E17" s="19">
        <v>0.44350000000000001</v>
      </c>
      <c r="F17" s="19">
        <v>0.50749999999999995</v>
      </c>
      <c r="G17" s="19">
        <v>0.50049999999999994</v>
      </c>
      <c r="H17" s="19" t="s">
        <v>38</v>
      </c>
      <c r="I17" s="19">
        <v>0.39550000000000002</v>
      </c>
      <c r="J17" s="19">
        <v>0.36</v>
      </c>
      <c r="K17" s="19">
        <v>0.23199999999999998</v>
      </c>
      <c r="L17" s="19">
        <v>0.32600000000000001</v>
      </c>
      <c r="M17" s="19">
        <v>0.20050000000000001</v>
      </c>
      <c r="N17" s="16">
        <v>0.2555</v>
      </c>
      <c r="O17" s="16">
        <v>0.1925</v>
      </c>
      <c r="P17" s="16">
        <v>0.2235</v>
      </c>
      <c r="Q17" s="16">
        <v>0.36099999999999999</v>
      </c>
      <c r="R17" s="16">
        <v>0.47899999999999998</v>
      </c>
      <c r="S17" s="16">
        <v>0.495</v>
      </c>
      <c r="T17" s="40">
        <v>0.61</v>
      </c>
      <c r="U17" s="40">
        <v>0.60799999999999998</v>
      </c>
      <c r="V17" s="40">
        <v>0.65800000000000003</v>
      </c>
      <c r="W17" s="40">
        <v>0.7</v>
      </c>
      <c r="X17" s="40">
        <v>0.85099999999999998</v>
      </c>
      <c r="Y17" s="40">
        <v>0.77800000000000002</v>
      </c>
      <c r="Z17" s="40">
        <v>0.85099999999999998</v>
      </c>
      <c r="AA17" s="40">
        <v>0.82399999999999995</v>
      </c>
      <c r="AB17" s="40">
        <v>0.746</v>
      </c>
      <c r="AC17" s="23" t="s">
        <v>38</v>
      </c>
      <c r="AD17" s="40">
        <v>0.63800000000000001</v>
      </c>
      <c r="AE17" s="40">
        <v>0.52400000000000002</v>
      </c>
      <c r="AF17" s="40">
        <v>0.47699999999999998</v>
      </c>
      <c r="AG17" s="40">
        <v>0.33800000000000002</v>
      </c>
      <c r="AH17" s="40">
        <v>0.32</v>
      </c>
      <c r="AI17" s="40">
        <v>0.32200000000000001</v>
      </c>
      <c r="AJ17" s="40">
        <v>0.313</v>
      </c>
      <c r="AK17" s="40">
        <v>0.24399999999999999</v>
      </c>
      <c r="AL17" s="40">
        <v>0.65300000000000002</v>
      </c>
      <c r="AM17" s="40" t="s">
        <v>38</v>
      </c>
      <c r="AN17" s="40">
        <v>0.45</v>
      </c>
      <c r="AO17" s="40">
        <v>0.36499999999999999</v>
      </c>
      <c r="AP17" s="40">
        <v>0.45</v>
      </c>
      <c r="AQ17" s="40">
        <v>0.45700000000000002</v>
      </c>
      <c r="AR17" s="40">
        <v>0.41099999999999998</v>
      </c>
      <c r="AS17" s="40">
        <v>0.42499999999999999</v>
      </c>
      <c r="AT17" s="40">
        <v>0.41599999999999998</v>
      </c>
      <c r="AU17" s="40">
        <v>0.372</v>
      </c>
      <c r="AV17" s="40">
        <v>0.27800000000000002</v>
      </c>
      <c r="AW17" s="40">
        <v>0.25</v>
      </c>
      <c r="AX17" s="40">
        <v>0.246</v>
      </c>
      <c r="AY17" s="40">
        <v>0.40400000000000003</v>
      </c>
      <c r="AZ17" s="40">
        <v>0.41299999999999998</v>
      </c>
      <c r="BA17" s="40">
        <v>0.41799999999999998</v>
      </c>
      <c r="BB17" s="23" t="s">
        <v>38</v>
      </c>
      <c r="BC17" s="40">
        <v>0.438</v>
      </c>
      <c r="BD17" s="23" t="s">
        <v>38</v>
      </c>
      <c r="BE17" s="23" t="s">
        <v>38</v>
      </c>
      <c r="BF17" s="23" t="s">
        <v>38</v>
      </c>
      <c r="BG17" s="40">
        <v>0.5495000000000001</v>
      </c>
      <c r="BH17" s="38">
        <v>0.45250000000000001</v>
      </c>
      <c r="BI17" s="38">
        <v>0.47199999999999998</v>
      </c>
      <c r="BJ17" s="38">
        <v>0.41249999999999998</v>
      </c>
      <c r="BK17" s="38">
        <v>0.41499999999999998</v>
      </c>
      <c r="BL17" s="38">
        <v>0.44550000000000001</v>
      </c>
      <c r="BM17" s="38">
        <v>0.4945</v>
      </c>
      <c r="BN17" s="23" t="s">
        <v>38</v>
      </c>
      <c r="BO17" s="40">
        <v>0.42299999999999999</v>
      </c>
      <c r="BP17" s="38">
        <v>0.45100000000000001</v>
      </c>
      <c r="BQ17" s="38">
        <v>0.39150000000000001</v>
      </c>
      <c r="BR17" s="41">
        <v>0.41249999999999998</v>
      </c>
      <c r="BS17" s="23" t="s">
        <v>38</v>
      </c>
      <c r="BT17" s="41">
        <v>0.374</v>
      </c>
      <c r="BU17" s="23" t="s">
        <v>38</v>
      </c>
      <c r="BV17" s="41">
        <v>0.38400000000000001</v>
      </c>
      <c r="BW17" s="42">
        <v>0.45</v>
      </c>
      <c r="BX17" s="42">
        <v>0.44550000000000001</v>
      </c>
      <c r="BY17" s="85">
        <f>(0.423+0.422)/2</f>
        <v>0.42249999999999999</v>
      </c>
      <c r="BZ17" s="85">
        <f>(0.594+0.576)/2</f>
        <v>0.58499999999999996</v>
      </c>
      <c r="CA17" s="86">
        <v>0.39600000000000002</v>
      </c>
    </row>
    <row r="18" spans="1:79">
      <c r="A18" s="21">
        <v>7</v>
      </c>
      <c r="B18" s="82">
        <v>254315.12577700001</v>
      </c>
      <c r="C18" s="82">
        <v>4505538.1711100005</v>
      </c>
      <c r="D18" s="19" t="s">
        <v>38</v>
      </c>
      <c r="E18" s="19">
        <v>0.17599999999999999</v>
      </c>
      <c r="F18" s="19">
        <v>9.5500000000000002E-2</v>
      </c>
      <c r="G18" s="19">
        <v>0.106</v>
      </c>
      <c r="H18" s="19">
        <v>0.1045</v>
      </c>
      <c r="I18" s="19">
        <v>8.5000000000000006E-2</v>
      </c>
      <c r="J18" s="19">
        <v>7.9500000000000001E-2</v>
      </c>
      <c r="K18" s="19">
        <v>7.5999999999999998E-2</v>
      </c>
      <c r="L18" s="19">
        <v>8.1499999999999989E-2</v>
      </c>
      <c r="M18" s="19">
        <v>3.1E-2</v>
      </c>
      <c r="N18" s="16">
        <v>9.1499999999999998E-2</v>
      </c>
      <c r="O18" s="16">
        <v>5.3499999999999999E-2</v>
      </c>
      <c r="P18" s="16">
        <v>6.8500000000000005E-2</v>
      </c>
      <c r="Q18" s="16">
        <v>8.9499999999999996E-2</v>
      </c>
      <c r="R18" s="16">
        <v>9.8000000000000004E-2</v>
      </c>
      <c r="S18" s="16">
        <v>8.299999999999999E-2</v>
      </c>
      <c r="T18" s="40" t="s">
        <v>38</v>
      </c>
      <c r="U18" s="40">
        <v>0.123</v>
      </c>
      <c r="V18" s="40">
        <v>0.122</v>
      </c>
      <c r="W18" s="40">
        <v>0.114</v>
      </c>
      <c r="X18" s="40">
        <v>0.113</v>
      </c>
      <c r="Y18" s="40">
        <v>9.4E-2</v>
      </c>
      <c r="Z18" s="40">
        <v>0.10199999999999999</v>
      </c>
      <c r="AA18" s="40">
        <v>0.11</v>
      </c>
      <c r="AB18" s="40">
        <v>0.113</v>
      </c>
      <c r="AC18" s="40">
        <v>0.12</v>
      </c>
      <c r="AD18" s="40">
        <v>0.124</v>
      </c>
      <c r="AE18" s="40">
        <v>0.13100000000000001</v>
      </c>
      <c r="AF18" s="40">
        <v>0.10100000000000001</v>
      </c>
      <c r="AG18" s="40">
        <v>0.11899999999999999</v>
      </c>
      <c r="AH18" s="40">
        <v>7.8E-2</v>
      </c>
      <c r="AI18" s="40">
        <v>8.4000000000000005E-2</v>
      </c>
      <c r="AJ18" s="40">
        <v>7.4999999999999997E-2</v>
      </c>
      <c r="AK18" s="40">
        <v>8.5999999999999993E-2</v>
      </c>
      <c r="AL18" s="40">
        <v>0.151</v>
      </c>
      <c r="AM18" s="40">
        <v>0.11899999999999999</v>
      </c>
      <c r="AN18" s="40">
        <v>0.107</v>
      </c>
      <c r="AO18" s="40">
        <v>7.2999999999999995E-2</v>
      </c>
      <c r="AP18" s="40">
        <v>0.14899999999999999</v>
      </c>
      <c r="AQ18" s="40">
        <v>8.2000000000000003E-2</v>
      </c>
      <c r="AR18" s="40">
        <v>8.1000000000000003E-2</v>
      </c>
      <c r="AS18" s="40">
        <v>9.1999999999999998E-2</v>
      </c>
      <c r="AT18" s="40">
        <v>7.2999999999999995E-2</v>
      </c>
      <c r="AU18" s="40">
        <v>7.4999999999999997E-2</v>
      </c>
      <c r="AV18" s="40">
        <v>8.4000000000000005E-2</v>
      </c>
      <c r="AW18" s="40">
        <v>5.0999999999999997E-2</v>
      </c>
      <c r="AX18" s="40">
        <v>6.4000000000000001E-2</v>
      </c>
      <c r="AY18" s="40">
        <v>0.49099999999999999</v>
      </c>
      <c r="AZ18" s="40">
        <v>8.1000000000000003E-2</v>
      </c>
      <c r="BA18" s="40">
        <v>6.8000000000000005E-2</v>
      </c>
      <c r="BB18" s="23" t="s">
        <v>38</v>
      </c>
      <c r="BC18" s="40">
        <v>0.129</v>
      </c>
      <c r="BD18" s="23" t="s">
        <v>38</v>
      </c>
      <c r="BE18" s="23" t="s">
        <v>38</v>
      </c>
      <c r="BF18" s="23" t="s">
        <v>38</v>
      </c>
      <c r="BG18" s="40">
        <v>0.1265</v>
      </c>
      <c r="BH18" s="38">
        <v>9.5500000000000002E-2</v>
      </c>
      <c r="BI18" s="38">
        <v>0.10450000000000001</v>
      </c>
      <c r="BJ18" s="38">
        <v>0.1075</v>
      </c>
      <c r="BK18" s="38">
        <v>8.3500000000000005E-2</v>
      </c>
      <c r="BL18" s="38">
        <v>8.5999999999999993E-2</v>
      </c>
      <c r="BM18" s="38">
        <v>0.1115</v>
      </c>
      <c r="BN18" s="23" t="s">
        <v>38</v>
      </c>
      <c r="BO18" s="40" t="s">
        <v>38</v>
      </c>
      <c r="BP18" s="38" t="s">
        <v>38</v>
      </c>
      <c r="BQ18" s="38">
        <v>8.0499999999999988E-2</v>
      </c>
      <c r="BR18" s="41">
        <v>0.08</v>
      </c>
      <c r="BS18" s="23" t="s">
        <v>38</v>
      </c>
      <c r="BT18" s="41">
        <v>7.0500000000000007E-2</v>
      </c>
      <c r="BU18" s="23" t="s">
        <v>38</v>
      </c>
      <c r="BV18" s="41">
        <v>7.3000000000000009E-2</v>
      </c>
      <c r="BW18" s="42">
        <v>9.0499999999999997E-2</v>
      </c>
      <c r="BX18" s="42">
        <v>0.10800000000000001</v>
      </c>
      <c r="BY18" s="85">
        <f>(0.183+0.191)/2</f>
        <v>0.187</v>
      </c>
      <c r="BZ18" s="85">
        <f>(0.221+0.217)/2</f>
        <v>0.219</v>
      </c>
      <c r="CA18" s="86">
        <v>0.17399999999999999</v>
      </c>
    </row>
    <row r="19" spans="1:79">
      <c r="A19" s="21">
        <v>8</v>
      </c>
      <c r="B19" s="82">
        <v>254315.63247400001</v>
      </c>
      <c r="C19" s="82">
        <v>4505540.80064</v>
      </c>
      <c r="D19" s="19" t="s">
        <v>38</v>
      </c>
      <c r="E19" s="19">
        <v>0.19450000000000001</v>
      </c>
      <c r="F19" s="19">
        <v>0.193</v>
      </c>
      <c r="G19" s="19">
        <v>0.19400000000000001</v>
      </c>
      <c r="H19" s="19">
        <v>0.1835</v>
      </c>
      <c r="I19" s="19">
        <v>0.1525</v>
      </c>
      <c r="J19" s="19">
        <v>0.14499999999999999</v>
      </c>
      <c r="K19" s="19">
        <v>0.12</v>
      </c>
      <c r="L19" s="19">
        <v>0.13300000000000001</v>
      </c>
      <c r="M19" s="19">
        <v>0.1085</v>
      </c>
      <c r="N19" s="16">
        <v>0.13400000000000001</v>
      </c>
      <c r="O19" s="16">
        <v>0.111</v>
      </c>
      <c r="P19" s="16">
        <v>0.113</v>
      </c>
      <c r="Q19" s="16">
        <v>0.159</v>
      </c>
      <c r="R19" s="23" t="s">
        <v>38</v>
      </c>
      <c r="S19" s="16">
        <v>9.2999999999999999E-2</v>
      </c>
      <c r="T19" s="40">
        <v>0.188</v>
      </c>
      <c r="U19" s="40">
        <v>0.218</v>
      </c>
      <c r="V19" s="40">
        <v>0.182</v>
      </c>
      <c r="W19" s="40">
        <v>0.19900000000000001</v>
      </c>
      <c r="X19" s="40">
        <v>0.188</v>
      </c>
      <c r="Y19" s="40">
        <v>0.16300000000000001</v>
      </c>
      <c r="Z19" s="40">
        <v>0.17199999999999999</v>
      </c>
      <c r="AA19" s="40">
        <v>0.17199999999999999</v>
      </c>
      <c r="AB19" s="40">
        <v>0.21099999999999999</v>
      </c>
      <c r="AC19" s="40">
        <v>0.22900000000000001</v>
      </c>
      <c r="AD19" s="40">
        <v>0.218</v>
      </c>
      <c r="AE19" s="40">
        <v>0.19600000000000001</v>
      </c>
      <c r="AF19" s="40">
        <v>0.16600000000000001</v>
      </c>
      <c r="AG19" s="40">
        <v>0.159</v>
      </c>
      <c r="AH19" s="40">
        <v>0.16600000000000001</v>
      </c>
      <c r="AI19" s="40">
        <v>0.153</v>
      </c>
      <c r="AJ19" s="40">
        <v>0.14599999999999999</v>
      </c>
      <c r="AK19" s="40">
        <v>0.157</v>
      </c>
      <c r="AL19" s="40">
        <v>0.223</v>
      </c>
      <c r="AM19" s="40">
        <v>0.157</v>
      </c>
      <c r="AN19" s="40">
        <v>0.191</v>
      </c>
      <c r="AO19" s="40">
        <v>0.13200000000000001</v>
      </c>
      <c r="AP19" s="40">
        <v>0.14699999999999999</v>
      </c>
      <c r="AQ19" s="40">
        <v>0.157</v>
      </c>
      <c r="AR19" s="40">
        <v>0.14599999999999999</v>
      </c>
      <c r="AS19" s="40">
        <v>0.158</v>
      </c>
      <c r="AT19" s="40">
        <v>0.14599999999999999</v>
      </c>
      <c r="AU19" s="40">
        <v>0.16200000000000001</v>
      </c>
      <c r="AV19" s="40">
        <v>0.13500000000000001</v>
      </c>
      <c r="AW19" s="40">
        <v>0.13200000000000001</v>
      </c>
      <c r="AX19" s="40">
        <v>0.126</v>
      </c>
      <c r="AY19" s="40">
        <v>0.16</v>
      </c>
      <c r="AZ19" s="40">
        <v>0.16900000000000001</v>
      </c>
      <c r="BA19" s="40">
        <v>0.17599999999999999</v>
      </c>
      <c r="BB19" s="23" t="s">
        <v>38</v>
      </c>
      <c r="BC19" s="40">
        <v>0.16649999999999998</v>
      </c>
      <c r="BD19" s="23" t="s">
        <v>38</v>
      </c>
      <c r="BE19" s="23" t="s">
        <v>38</v>
      </c>
      <c r="BF19" s="23" t="s">
        <v>38</v>
      </c>
      <c r="BG19" s="40">
        <v>0.22</v>
      </c>
      <c r="BH19" s="38">
        <v>0.17299999999999999</v>
      </c>
      <c r="BI19" s="38">
        <v>0.19700000000000001</v>
      </c>
      <c r="BJ19" s="38">
        <v>0.188</v>
      </c>
      <c r="BK19" s="38">
        <v>0.17699999999999999</v>
      </c>
      <c r="BL19" s="38">
        <v>0.16750000000000001</v>
      </c>
      <c r="BM19" s="38">
        <v>7.6999999999999999E-2</v>
      </c>
      <c r="BN19" s="23" t="s">
        <v>38</v>
      </c>
      <c r="BO19" s="40">
        <v>0.14349999999999999</v>
      </c>
      <c r="BP19" s="38">
        <v>0.16300000000000001</v>
      </c>
      <c r="BQ19" s="38">
        <v>0.1595</v>
      </c>
      <c r="BR19" s="41">
        <v>0.16800000000000001</v>
      </c>
      <c r="BS19" s="23" t="s">
        <v>38</v>
      </c>
      <c r="BT19" s="41">
        <v>0.151</v>
      </c>
      <c r="BU19" s="23" t="s">
        <v>38</v>
      </c>
      <c r="BV19" s="41">
        <v>0.16</v>
      </c>
      <c r="BW19" s="42">
        <v>0.16449999999999998</v>
      </c>
      <c r="BX19" s="42">
        <v>0.1255</v>
      </c>
      <c r="BY19" s="85">
        <f>(0.16+0.17)/2</f>
        <v>0.16500000000000001</v>
      </c>
      <c r="BZ19" s="85">
        <f>(0.208+0.194)/2</f>
        <v>0.20100000000000001</v>
      </c>
      <c r="CA19" s="86">
        <v>0.16500000000000001</v>
      </c>
    </row>
    <row r="20" spans="1:79">
      <c r="A20" s="21">
        <v>9</v>
      </c>
      <c r="B20" s="82">
        <v>254318.80336600001</v>
      </c>
      <c r="C20" s="82">
        <v>4505533.64805</v>
      </c>
      <c r="D20" s="19" t="s">
        <v>38</v>
      </c>
      <c r="E20" s="19">
        <v>0.161</v>
      </c>
      <c r="F20" s="19">
        <v>0.1595</v>
      </c>
      <c r="G20" s="19">
        <v>0.1825</v>
      </c>
      <c r="H20" s="19">
        <v>0.18149999999999999</v>
      </c>
      <c r="I20" s="19">
        <v>0.1555</v>
      </c>
      <c r="J20" s="19">
        <v>0.13350000000000001</v>
      </c>
      <c r="K20" s="19">
        <v>0.13250000000000001</v>
      </c>
      <c r="L20" s="19">
        <v>0.14400000000000002</v>
      </c>
      <c r="M20" s="19">
        <v>0.106</v>
      </c>
      <c r="N20" s="16">
        <v>0.14450000000000002</v>
      </c>
      <c r="O20" s="16">
        <v>0.11599999999999999</v>
      </c>
      <c r="P20" s="16">
        <v>0.11</v>
      </c>
      <c r="Q20" s="16">
        <v>0.14150000000000001</v>
      </c>
      <c r="R20" s="23" t="s">
        <v>38</v>
      </c>
      <c r="S20" s="16">
        <v>0.16849999999999998</v>
      </c>
      <c r="T20" s="40">
        <v>0.20499999999999999</v>
      </c>
      <c r="U20" s="40">
        <v>0.20699999999999999</v>
      </c>
      <c r="V20" s="40">
        <v>0.20499999999999999</v>
      </c>
      <c r="W20" s="40">
        <v>0.189</v>
      </c>
      <c r="X20" s="40">
        <v>0.183</v>
      </c>
      <c r="Y20" s="40">
        <v>0.16500000000000001</v>
      </c>
      <c r="Z20" s="40">
        <v>0.17100000000000001</v>
      </c>
      <c r="AA20" s="40">
        <v>0.16300000000000001</v>
      </c>
      <c r="AB20" s="40">
        <v>0.193</v>
      </c>
      <c r="AC20" s="40">
        <v>0.16900000000000001</v>
      </c>
      <c r="AD20" s="40">
        <v>0.19</v>
      </c>
      <c r="AE20" s="40">
        <v>0.20100000000000001</v>
      </c>
      <c r="AF20" s="40">
        <v>0.17199999999999999</v>
      </c>
      <c r="AG20" s="40">
        <v>0.152</v>
      </c>
      <c r="AH20" s="40">
        <v>0.154</v>
      </c>
      <c r="AI20" s="40">
        <v>0.14499999999999999</v>
      </c>
      <c r="AJ20" s="40">
        <v>0.16300000000000001</v>
      </c>
      <c r="AK20" s="40">
        <v>0.16300000000000001</v>
      </c>
      <c r="AL20" s="40">
        <v>0.22</v>
      </c>
      <c r="AM20" s="40">
        <v>0.22600000000000001</v>
      </c>
      <c r="AN20" s="40">
        <v>0.17299999999999999</v>
      </c>
      <c r="AO20" s="40">
        <v>0.16300000000000001</v>
      </c>
      <c r="AP20" s="40">
        <v>0.187</v>
      </c>
      <c r="AQ20" s="40">
        <v>0.17</v>
      </c>
      <c r="AR20" s="40">
        <v>0.151</v>
      </c>
      <c r="AS20" s="40">
        <v>0.17199999999999999</v>
      </c>
      <c r="AT20" s="40">
        <v>0.16300000000000001</v>
      </c>
      <c r="AU20" s="40">
        <v>0.13300000000000001</v>
      </c>
      <c r="AV20" s="40">
        <v>0.14699999999999999</v>
      </c>
      <c r="AW20" s="40">
        <v>0.14499999999999999</v>
      </c>
      <c r="AX20" s="40">
        <v>0.13300000000000001</v>
      </c>
      <c r="AY20" s="40">
        <v>0.19500000000000001</v>
      </c>
      <c r="AZ20" s="40">
        <v>0.19400000000000001</v>
      </c>
      <c r="BA20" s="40">
        <v>0.16500000000000001</v>
      </c>
      <c r="BB20" s="23" t="s">
        <v>38</v>
      </c>
      <c r="BC20" s="40">
        <v>0.153</v>
      </c>
      <c r="BD20" s="23" t="s">
        <v>38</v>
      </c>
      <c r="BE20" s="23" t="s">
        <v>38</v>
      </c>
      <c r="BF20" s="23" t="s">
        <v>38</v>
      </c>
      <c r="BG20" s="40">
        <v>0.191</v>
      </c>
      <c r="BH20" s="38">
        <v>0.18049999999999999</v>
      </c>
      <c r="BI20" s="38">
        <v>0.191</v>
      </c>
      <c r="BJ20" s="38">
        <v>0.14449999999999999</v>
      </c>
      <c r="BK20" s="38">
        <v>0.17649999999999999</v>
      </c>
      <c r="BL20" s="38">
        <v>0.17199999999999999</v>
      </c>
      <c r="BM20" s="38">
        <v>0.158</v>
      </c>
      <c r="BN20" s="23" t="s">
        <v>38</v>
      </c>
      <c r="BO20" s="40">
        <v>0.188</v>
      </c>
      <c r="BP20" s="38">
        <v>0.20200000000000001</v>
      </c>
      <c r="BQ20" s="38">
        <v>0.16799999999999998</v>
      </c>
      <c r="BR20" s="41">
        <v>0.16349999999999998</v>
      </c>
      <c r="BS20" s="23" t="s">
        <v>38</v>
      </c>
      <c r="BT20" s="41">
        <v>0.159</v>
      </c>
      <c r="BU20" s="23" t="s">
        <v>38</v>
      </c>
      <c r="BV20" s="41">
        <v>0.14499999999999999</v>
      </c>
      <c r="BW20" s="42">
        <v>0.1575</v>
      </c>
      <c r="BX20" s="42">
        <v>0.16</v>
      </c>
      <c r="BY20" s="85">
        <f>(0.254+0.229)/2</f>
        <v>0.24149999999999999</v>
      </c>
      <c r="BZ20" s="85">
        <f>(0.252+0.263)/2</f>
        <v>0.25750000000000001</v>
      </c>
      <c r="CA20" s="86">
        <v>0.21199999999999999</v>
      </c>
    </row>
    <row r="21" spans="1:79">
      <c r="A21" s="21">
        <v>10</v>
      </c>
      <c r="B21" s="82">
        <v>254304.411941</v>
      </c>
      <c r="C21" s="82">
        <v>4505533.3200700004</v>
      </c>
      <c r="D21" s="19" t="s">
        <v>38</v>
      </c>
      <c r="E21" s="19">
        <v>0.155</v>
      </c>
      <c r="F21" s="19">
        <v>0.17349999999999999</v>
      </c>
      <c r="G21" s="19">
        <v>0.1575</v>
      </c>
      <c r="H21" s="19">
        <v>0.14800000000000002</v>
      </c>
      <c r="I21" s="19">
        <v>0.1295</v>
      </c>
      <c r="J21" s="19">
        <v>0.1225</v>
      </c>
      <c r="K21" s="19">
        <v>0.10800000000000001</v>
      </c>
      <c r="L21" s="19">
        <v>0.105</v>
      </c>
      <c r="M21" s="19">
        <v>9.7000000000000003E-2</v>
      </c>
      <c r="N21" s="16">
        <v>0.12</v>
      </c>
      <c r="O21" s="16">
        <v>9.8500000000000004E-2</v>
      </c>
      <c r="P21" s="16">
        <v>0.115</v>
      </c>
      <c r="Q21" s="16">
        <v>0.14100000000000001</v>
      </c>
      <c r="R21" s="16">
        <v>0.14299999999999999</v>
      </c>
      <c r="S21" s="16">
        <v>0.161</v>
      </c>
      <c r="T21" s="40">
        <v>0.20799999999999999</v>
      </c>
      <c r="U21" s="40">
        <v>0.16800000000000001</v>
      </c>
      <c r="V21" s="40">
        <v>0.16600000000000001</v>
      </c>
      <c r="W21" s="40">
        <v>0.17699999999999999</v>
      </c>
      <c r="X21" s="40">
        <v>0.16200000000000001</v>
      </c>
      <c r="Y21" s="40">
        <v>0.14599999999999999</v>
      </c>
      <c r="Z21" s="40">
        <v>0.155</v>
      </c>
      <c r="AA21" s="40">
        <v>0.155</v>
      </c>
      <c r="AB21" s="40">
        <v>0.157</v>
      </c>
      <c r="AC21" s="40">
        <v>0.17299999999999999</v>
      </c>
      <c r="AD21" s="40">
        <v>0.19500000000000001</v>
      </c>
      <c r="AE21" s="40">
        <v>0.16900000000000001</v>
      </c>
      <c r="AF21" s="40">
        <v>0.14099999999999999</v>
      </c>
      <c r="AG21" s="40">
        <v>0.14299999999999999</v>
      </c>
      <c r="AH21" s="40">
        <v>0.125</v>
      </c>
      <c r="AI21" s="40">
        <v>0.13300000000000001</v>
      </c>
      <c r="AJ21" s="40">
        <v>0.13200000000000001</v>
      </c>
      <c r="AK21" s="40">
        <v>0.11</v>
      </c>
      <c r="AL21" s="40">
        <v>0.20300000000000001</v>
      </c>
      <c r="AM21" s="40">
        <v>0.217</v>
      </c>
      <c r="AN21" s="40">
        <v>0.154</v>
      </c>
      <c r="AO21" s="40">
        <v>0.11700000000000001</v>
      </c>
      <c r="AP21" s="40">
        <v>0.16900000000000001</v>
      </c>
      <c r="AQ21" s="40">
        <v>0.14299999999999999</v>
      </c>
      <c r="AR21" s="40">
        <v>0.124</v>
      </c>
      <c r="AS21" s="40">
        <v>0.13400000000000001</v>
      </c>
      <c r="AT21" s="40">
        <v>0.13900000000000001</v>
      </c>
      <c r="AU21" s="40">
        <v>0.12</v>
      </c>
      <c r="AV21" s="40">
        <v>0.129</v>
      </c>
      <c r="AW21" s="40">
        <v>0.112</v>
      </c>
      <c r="AX21" s="40">
        <v>0.115</v>
      </c>
      <c r="AY21" s="40">
        <v>0.14099999999999999</v>
      </c>
      <c r="AZ21" s="40">
        <v>0.13300000000000001</v>
      </c>
      <c r="BA21" s="40">
        <v>0.12</v>
      </c>
      <c r="BB21" s="23" t="s">
        <v>38</v>
      </c>
      <c r="BC21" s="40">
        <v>0.16300000000000001</v>
      </c>
      <c r="BD21" s="23" t="s">
        <v>38</v>
      </c>
      <c r="BE21" s="23" t="s">
        <v>38</v>
      </c>
      <c r="BF21" s="23" t="s">
        <v>38</v>
      </c>
      <c r="BG21" s="40">
        <v>0.16750000000000001</v>
      </c>
      <c r="BH21" s="38">
        <v>0.14749999999999999</v>
      </c>
      <c r="BI21" s="38">
        <v>0.16500000000000001</v>
      </c>
      <c r="BJ21" s="38">
        <v>0.156</v>
      </c>
      <c r="BK21" s="38">
        <v>0.14949999999999999</v>
      </c>
      <c r="BL21" s="38">
        <v>0.13150000000000001</v>
      </c>
      <c r="BM21" s="38">
        <v>0.16</v>
      </c>
      <c r="BN21" s="23" t="s">
        <v>38</v>
      </c>
      <c r="BO21" s="40">
        <v>0.14749999999999999</v>
      </c>
      <c r="BP21" s="38">
        <v>0.1545</v>
      </c>
      <c r="BQ21" s="38">
        <v>0.124</v>
      </c>
      <c r="BR21" s="41">
        <v>0.14100000000000001</v>
      </c>
      <c r="BS21" s="23" t="s">
        <v>38</v>
      </c>
      <c r="BT21" s="41">
        <v>0.127</v>
      </c>
      <c r="BU21" s="23" t="s">
        <v>38</v>
      </c>
      <c r="BV21" s="41">
        <v>0.11749999999999999</v>
      </c>
      <c r="BW21" s="42">
        <v>0.14550000000000002</v>
      </c>
      <c r="BX21" s="42">
        <v>0.14000000000000001</v>
      </c>
      <c r="BY21" s="85">
        <f>(0.205+0.218)/2</f>
        <v>0.21149999999999999</v>
      </c>
      <c r="BZ21" s="85">
        <f>(0.246+0.228)/2</f>
        <v>0.23699999999999999</v>
      </c>
      <c r="CA21" s="86">
        <v>0.193</v>
      </c>
    </row>
    <row r="22" spans="1:79">
      <c r="A22" s="21">
        <v>11</v>
      </c>
      <c r="B22" s="82">
        <v>254377.22509600001</v>
      </c>
      <c r="C22" s="82">
        <v>4505568.8344999999</v>
      </c>
      <c r="D22" s="19" t="s">
        <v>38</v>
      </c>
      <c r="E22" s="19" t="s">
        <v>38</v>
      </c>
      <c r="F22" s="19" t="s">
        <v>38</v>
      </c>
      <c r="G22" s="19" t="s">
        <v>38</v>
      </c>
      <c r="H22" s="19" t="s">
        <v>38</v>
      </c>
      <c r="I22" s="19" t="s">
        <v>38</v>
      </c>
      <c r="J22" s="19" t="s">
        <v>38</v>
      </c>
      <c r="K22" s="19" t="s">
        <v>38</v>
      </c>
      <c r="L22" s="19" t="s">
        <v>38</v>
      </c>
      <c r="M22" s="19" t="s">
        <v>38</v>
      </c>
      <c r="N22" s="23" t="s">
        <v>38</v>
      </c>
      <c r="O22" s="23" t="s">
        <v>38</v>
      </c>
      <c r="P22" s="23" t="s">
        <v>38</v>
      </c>
      <c r="Q22" s="23" t="s">
        <v>38</v>
      </c>
      <c r="R22" s="23" t="s">
        <v>38</v>
      </c>
      <c r="S22" s="23" t="s">
        <v>38</v>
      </c>
      <c r="T22" s="40">
        <v>0.53100000000000003</v>
      </c>
      <c r="U22" s="40">
        <v>0.48799999999999999</v>
      </c>
      <c r="V22" s="40">
        <v>0.49</v>
      </c>
      <c r="W22" s="40">
        <v>0.56599999999999995</v>
      </c>
      <c r="X22" s="40">
        <v>0.55800000000000005</v>
      </c>
      <c r="Y22" s="40">
        <v>0.47599999999999998</v>
      </c>
      <c r="Z22" s="40">
        <v>0.53900000000000003</v>
      </c>
      <c r="AA22" s="40">
        <v>0.52700000000000002</v>
      </c>
      <c r="AB22" s="40">
        <v>0.55200000000000005</v>
      </c>
      <c r="AC22" s="40">
        <v>0.56200000000000006</v>
      </c>
      <c r="AD22" s="40">
        <v>0.53500000000000003</v>
      </c>
      <c r="AE22" s="40">
        <v>0.46899999999999997</v>
      </c>
      <c r="AF22" s="40">
        <v>0.34699999999999998</v>
      </c>
      <c r="AG22" s="40">
        <v>0.34799999999999998</v>
      </c>
      <c r="AH22" s="40">
        <v>0.29199999999999998</v>
      </c>
      <c r="AI22" s="40">
        <v>0.3</v>
      </c>
      <c r="AJ22" s="40">
        <v>0.317</v>
      </c>
      <c r="AK22" s="40">
        <v>0.379</v>
      </c>
      <c r="AL22" s="40">
        <v>0.53500000000000003</v>
      </c>
      <c r="AM22" s="40">
        <v>0.59399999999999997</v>
      </c>
      <c r="AN22" s="40">
        <v>0.377</v>
      </c>
      <c r="AO22" s="40">
        <v>0.29099999999999998</v>
      </c>
      <c r="AP22" s="40">
        <v>0.37</v>
      </c>
      <c r="AQ22" s="40">
        <v>0.39100000000000001</v>
      </c>
      <c r="AR22" s="40">
        <v>0.33700000000000002</v>
      </c>
      <c r="AS22" s="40">
        <v>0.34300000000000003</v>
      </c>
      <c r="AT22" s="40">
        <v>0.33700000000000002</v>
      </c>
      <c r="AU22" s="40">
        <v>0.32600000000000001</v>
      </c>
      <c r="AV22" s="40">
        <v>0.30099999999999999</v>
      </c>
      <c r="AW22" s="40">
        <v>0.25800000000000001</v>
      </c>
      <c r="AX22" s="40">
        <v>0.247</v>
      </c>
      <c r="AY22" s="40">
        <v>0.34599999999999997</v>
      </c>
      <c r="AZ22" s="40">
        <v>0.31900000000000001</v>
      </c>
      <c r="BA22" s="40">
        <v>0.32600000000000001</v>
      </c>
      <c r="BB22" s="49">
        <v>0.2465</v>
      </c>
      <c r="BC22" s="40">
        <v>0.3</v>
      </c>
      <c r="BD22" s="23" t="s">
        <v>38</v>
      </c>
      <c r="BE22" s="23" t="s">
        <v>38</v>
      </c>
      <c r="BF22" s="23" t="s">
        <v>38</v>
      </c>
      <c r="BG22" s="40">
        <v>0.4365</v>
      </c>
      <c r="BH22" s="38">
        <v>0.34499999999999997</v>
      </c>
      <c r="BI22" s="38">
        <v>0.38150000000000001</v>
      </c>
      <c r="BJ22" s="38">
        <v>0.36599999999999999</v>
      </c>
      <c r="BK22" s="38">
        <v>0.35299999999999998</v>
      </c>
      <c r="BL22" s="38">
        <v>0.36</v>
      </c>
      <c r="BM22" s="38">
        <v>0.4</v>
      </c>
      <c r="BN22" s="23" t="s">
        <v>38</v>
      </c>
      <c r="BO22" s="40">
        <v>0.39850000000000002</v>
      </c>
      <c r="BP22" s="38">
        <v>0.3785</v>
      </c>
      <c r="BQ22" s="38" t="s">
        <v>38</v>
      </c>
      <c r="BR22" s="41" t="s">
        <v>38</v>
      </c>
      <c r="BS22" s="23" t="s">
        <v>38</v>
      </c>
      <c r="BT22" s="23" t="s">
        <v>38</v>
      </c>
      <c r="BU22" s="23" t="s">
        <v>38</v>
      </c>
      <c r="BV22" s="23" t="s">
        <v>38</v>
      </c>
      <c r="BW22" s="23" t="s">
        <v>38</v>
      </c>
      <c r="BX22" s="23" t="s">
        <v>38</v>
      </c>
      <c r="BY22" s="85">
        <f>(0.389+0.38)/2</f>
        <v>0.38450000000000001</v>
      </c>
      <c r="BZ22" s="85">
        <f>(0.374+0.359)/2</f>
        <v>0.36649999999999999</v>
      </c>
      <c r="CA22" s="86">
        <v>0.499</v>
      </c>
    </row>
    <row r="23" spans="1:79">
      <c r="A23" s="21">
        <v>12</v>
      </c>
      <c r="B23" s="82">
        <v>254378.35348799999</v>
      </c>
      <c r="C23" s="82">
        <v>4505539.32706</v>
      </c>
      <c r="D23" s="19" t="s">
        <v>38</v>
      </c>
      <c r="E23" s="19">
        <v>0.33300000000000002</v>
      </c>
      <c r="F23" s="19">
        <v>0.33400000000000002</v>
      </c>
      <c r="G23" s="19">
        <v>0.33950000000000002</v>
      </c>
      <c r="H23" s="19">
        <v>0.33850000000000002</v>
      </c>
      <c r="I23" s="19">
        <v>0.27250000000000002</v>
      </c>
      <c r="J23" s="19">
        <v>0.254</v>
      </c>
      <c r="K23" s="19">
        <v>0.20649999999999999</v>
      </c>
      <c r="L23" s="19">
        <v>0.26150000000000001</v>
      </c>
      <c r="M23" s="19">
        <v>0.1905</v>
      </c>
      <c r="N23" s="16">
        <v>0.23449999999999999</v>
      </c>
      <c r="O23" s="16">
        <v>0.186</v>
      </c>
      <c r="P23" s="16">
        <v>0.1905</v>
      </c>
      <c r="Q23" s="16">
        <v>0.26900000000000002</v>
      </c>
      <c r="R23" s="16">
        <v>0.29499999999999998</v>
      </c>
      <c r="S23" s="16">
        <v>0.28699999999999998</v>
      </c>
      <c r="T23" s="40">
        <v>0.41499999999999998</v>
      </c>
      <c r="U23" s="40">
        <v>0.41399999999999998</v>
      </c>
      <c r="V23" s="40">
        <v>0.38500000000000001</v>
      </c>
      <c r="W23" s="40">
        <v>0.45200000000000001</v>
      </c>
      <c r="X23" s="40">
        <v>0.40400000000000003</v>
      </c>
      <c r="Y23" s="40">
        <v>0.40500000000000003</v>
      </c>
      <c r="Z23" s="40">
        <v>0.4</v>
      </c>
      <c r="AA23" s="40">
        <v>0.40799999999999997</v>
      </c>
      <c r="AB23" s="40">
        <v>0.40100000000000002</v>
      </c>
      <c r="AC23" s="40">
        <v>0.40799999999999997</v>
      </c>
      <c r="AD23" s="40">
        <v>0.42199999999999999</v>
      </c>
      <c r="AE23" s="40">
        <v>0.35499999999999998</v>
      </c>
      <c r="AF23" s="40">
        <v>0.254</v>
      </c>
      <c r="AG23" s="40">
        <v>0.24199999999999999</v>
      </c>
      <c r="AH23" s="40">
        <v>0.20599999999999999</v>
      </c>
      <c r="AI23" s="40">
        <v>0.222</v>
      </c>
      <c r="AJ23" s="40">
        <v>0.217</v>
      </c>
      <c r="AK23" s="40">
        <v>0.22500000000000001</v>
      </c>
      <c r="AL23" s="40">
        <v>0.40100000000000002</v>
      </c>
      <c r="AM23" s="40">
        <v>0.42899999999999999</v>
      </c>
      <c r="AN23" s="40">
        <v>0.33700000000000002</v>
      </c>
      <c r="AO23" s="40">
        <v>0.25700000000000001</v>
      </c>
      <c r="AP23" s="40">
        <v>0.30199999999999999</v>
      </c>
      <c r="AQ23" s="40">
        <v>0.30399999999999999</v>
      </c>
      <c r="AR23" s="40">
        <v>0.28599999999999998</v>
      </c>
      <c r="AS23" s="40">
        <v>0.28199999999999997</v>
      </c>
      <c r="AT23" s="40">
        <v>0.27800000000000002</v>
      </c>
      <c r="AU23" s="40">
        <v>0.25800000000000001</v>
      </c>
      <c r="AV23" s="40">
        <v>0.22900000000000001</v>
      </c>
      <c r="AW23" s="40">
        <v>0.2</v>
      </c>
      <c r="AX23" s="40">
        <v>0.19700000000000001</v>
      </c>
      <c r="AY23" s="40">
        <v>0.32400000000000001</v>
      </c>
      <c r="AZ23" s="40">
        <v>0.28100000000000003</v>
      </c>
      <c r="BA23" s="40">
        <v>0.30199999999999999</v>
      </c>
      <c r="BB23" s="49" t="s">
        <v>38</v>
      </c>
      <c r="BC23" s="40">
        <v>0.29899999999999999</v>
      </c>
      <c r="BD23" s="23" t="s">
        <v>38</v>
      </c>
      <c r="BE23" s="23" t="s">
        <v>38</v>
      </c>
      <c r="BF23" s="23" t="s">
        <v>38</v>
      </c>
      <c r="BG23" s="40">
        <v>0.36699999999999999</v>
      </c>
      <c r="BH23" s="38">
        <v>0.30099999999999999</v>
      </c>
      <c r="BI23" s="38">
        <v>0.34550000000000003</v>
      </c>
      <c r="BJ23" s="38">
        <v>0.32900000000000001</v>
      </c>
      <c r="BK23" s="38">
        <v>0.32150000000000001</v>
      </c>
      <c r="BL23" s="38">
        <v>0.32400000000000001</v>
      </c>
      <c r="BM23" s="38">
        <v>0.35949999999999999</v>
      </c>
      <c r="BN23" s="23" t="s">
        <v>38</v>
      </c>
      <c r="BO23" s="40">
        <v>0.33850000000000002</v>
      </c>
      <c r="BP23" s="38">
        <v>0.33300000000000002</v>
      </c>
      <c r="BQ23" s="38">
        <v>0.253</v>
      </c>
      <c r="BR23" s="41">
        <v>0.25800000000000001</v>
      </c>
      <c r="BS23" s="23" t="s">
        <v>38</v>
      </c>
      <c r="BT23" s="41">
        <v>0.23949999999999999</v>
      </c>
      <c r="BU23" s="23" t="s">
        <v>38</v>
      </c>
      <c r="BV23" s="41">
        <v>0.25750000000000001</v>
      </c>
      <c r="BW23" s="42">
        <v>0.29349999999999998</v>
      </c>
      <c r="BX23" s="42">
        <v>0.29199999999999998</v>
      </c>
      <c r="BY23" s="85">
        <f>(0.357+0.367)/2</f>
        <v>0.36199999999999999</v>
      </c>
      <c r="BZ23" s="85">
        <f>(0.325+0.314)/2</f>
        <v>0.31950000000000001</v>
      </c>
      <c r="CA23" s="86">
        <v>0.45</v>
      </c>
    </row>
    <row r="24" spans="1:79">
      <c r="A24" s="21">
        <v>13</v>
      </c>
      <c r="B24" s="82">
        <v>254394.38724800001</v>
      </c>
      <c r="C24" s="82">
        <v>4505500.7558800001</v>
      </c>
      <c r="D24" s="19" t="s">
        <v>38</v>
      </c>
      <c r="E24" s="19">
        <v>0.27500000000000002</v>
      </c>
      <c r="F24" s="19">
        <v>0.247</v>
      </c>
      <c r="G24" s="19">
        <v>0.21099999999999999</v>
      </c>
      <c r="H24" s="19">
        <v>0.21299999999999999</v>
      </c>
      <c r="I24" s="19">
        <v>0.23799999999999999</v>
      </c>
      <c r="J24" s="19">
        <v>0.1925</v>
      </c>
      <c r="K24" s="19">
        <v>0.14949999999999999</v>
      </c>
      <c r="L24" s="19">
        <v>0.16350000000000001</v>
      </c>
      <c r="M24" s="19">
        <v>0.13</v>
      </c>
      <c r="N24" s="16">
        <v>0.19600000000000001</v>
      </c>
      <c r="O24" s="16">
        <v>0.1285</v>
      </c>
      <c r="P24" s="16">
        <v>0.17199999999999999</v>
      </c>
      <c r="Q24" s="16">
        <v>0.2165</v>
      </c>
      <c r="R24" s="23" t="s">
        <v>38</v>
      </c>
      <c r="S24" s="16">
        <v>0.23099999999999998</v>
      </c>
      <c r="T24" s="40">
        <v>0.245</v>
      </c>
      <c r="U24" s="40">
        <v>0.26200000000000001</v>
      </c>
      <c r="V24" s="40">
        <v>0.28199999999999997</v>
      </c>
      <c r="W24" s="40" t="s">
        <v>38</v>
      </c>
      <c r="X24" s="40">
        <v>0.23400000000000001</v>
      </c>
      <c r="Y24" s="40">
        <v>0.25600000000000001</v>
      </c>
      <c r="Z24" s="40">
        <v>0.28000000000000003</v>
      </c>
      <c r="AA24" s="40">
        <v>0.255</v>
      </c>
      <c r="AB24" s="40">
        <v>0.254</v>
      </c>
      <c r="AC24" s="40">
        <v>0.34200000000000003</v>
      </c>
      <c r="AD24" s="40">
        <v>0.245</v>
      </c>
      <c r="AE24" s="40">
        <v>0.216</v>
      </c>
      <c r="AF24" s="40">
        <v>0.21</v>
      </c>
      <c r="AG24" s="40">
        <v>0.16200000000000001</v>
      </c>
      <c r="AH24" s="40">
        <v>0.20100000000000001</v>
      </c>
      <c r="AI24" s="40">
        <v>0.183</v>
      </c>
      <c r="AJ24" s="40">
        <v>0.161</v>
      </c>
      <c r="AK24" s="40">
        <v>0.15</v>
      </c>
      <c r="AL24" s="40">
        <v>0.35099999999999998</v>
      </c>
      <c r="AM24" s="40">
        <v>0.28000000000000003</v>
      </c>
      <c r="AN24" s="40">
        <v>0.20200000000000001</v>
      </c>
      <c r="AO24" s="40">
        <v>0.13300000000000001</v>
      </c>
      <c r="AP24" s="40">
        <v>0.188</v>
      </c>
      <c r="AQ24" s="40">
        <v>0.23100000000000001</v>
      </c>
      <c r="AR24" s="40">
        <v>0.24299999999999999</v>
      </c>
      <c r="AS24" s="40">
        <v>0.192</v>
      </c>
      <c r="AT24" s="40">
        <v>0.20899999999999999</v>
      </c>
      <c r="AU24" s="40">
        <v>0.17899999999999999</v>
      </c>
      <c r="AV24" s="40">
        <v>0.13800000000000001</v>
      </c>
      <c r="AW24" s="40">
        <v>0.128</v>
      </c>
      <c r="AX24" s="40">
        <v>0.13300000000000001</v>
      </c>
      <c r="AY24" s="40">
        <v>0.26500000000000001</v>
      </c>
      <c r="AZ24" s="40">
        <v>0.21</v>
      </c>
      <c r="BA24" s="40">
        <v>0.20499999999999999</v>
      </c>
      <c r="BB24" s="49" t="s">
        <v>38</v>
      </c>
      <c r="BC24" s="40">
        <v>0.24349999999999999</v>
      </c>
      <c r="BD24" s="23" t="s">
        <v>38</v>
      </c>
      <c r="BE24" s="23" t="s">
        <v>38</v>
      </c>
      <c r="BF24" s="23" t="s">
        <v>38</v>
      </c>
      <c r="BG24" s="40">
        <v>0.23799999999999999</v>
      </c>
      <c r="BH24" s="38">
        <v>0.22799999999999998</v>
      </c>
      <c r="BI24" s="38">
        <v>0.17199999999999999</v>
      </c>
      <c r="BJ24" s="38">
        <v>0.19750000000000001</v>
      </c>
      <c r="BK24" s="38">
        <v>0.17349999999999999</v>
      </c>
      <c r="BL24" s="38">
        <v>0.23050000000000001</v>
      </c>
      <c r="BM24" s="38">
        <v>0.26650000000000001</v>
      </c>
      <c r="BN24" s="23" t="s">
        <v>38</v>
      </c>
      <c r="BO24" s="40">
        <v>0.20650000000000002</v>
      </c>
      <c r="BP24" s="38">
        <v>0.18099999999999999</v>
      </c>
      <c r="BQ24" s="38">
        <v>0.19450000000000001</v>
      </c>
      <c r="BR24" s="41">
        <v>0.2175</v>
      </c>
      <c r="BS24" s="23" t="s">
        <v>38</v>
      </c>
      <c r="BT24" s="41">
        <v>0.1895</v>
      </c>
      <c r="BU24" s="23" t="s">
        <v>38</v>
      </c>
      <c r="BV24" s="41">
        <v>0.18049999999999999</v>
      </c>
      <c r="BW24" s="42">
        <v>0.20100000000000001</v>
      </c>
      <c r="BX24" s="42">
        <v>0.14700000000000002</v>
      </c>
      <c r="BY24" s="85" t="s">
        <v>38</v>
      </c>
      <c r="BZ24" s="85">
        <v>0.23499999999999999</v>
      </c>
      <c r="CA24" s="86" t="s">
        <v>38</v>
      </c>
    </row>
    <row r="25" spans="1:79">
      <c r="A25" s="21">
        <v>14</v>
      </c>
      <c r="B25" s="82">
        <v>254403.568317</v>
      </c>
      <c r="C25" s="82">
        <v>4505486.8415299999</v>
      </c>
      <c r="D25" s="19" t="s">
        <v>38</v>
      </c>
      <c r="E25" s="19" t="s">
        <v>38</v>
      </c>
      <c r="F25" s="19" t="s">
        <v>38</v>
      </c>
      <c r="G25" s="19" t="s">
        <v>38</v>
      </c>
      <c r="H25" s="19" t="s">
        <v>38</v>
      </c>
      <c r="I25" s="19" t="s">
        <v>38</v>
      </c>
      <c r="J25" s="19" t="s">
        <v>38</v>
      </c>
      <c r="K25" s="19" t="s">
        <v>38</v>
      </c>
      <c r="L25" s="19" t="s">
        <v>38</v>
      </c>
      <c r="M25" s="19" t="s">
        <v>38</v>
      </c>
      <c r="N25" s="23" t="s">
        <v>38</v>
      </c>
      <c r="O25" s="23" t="s">
        <v>38</v>
      </c>
      <c r="P25" s="23" t="s">
        <v>38</v>
      </c>
      <c r="Q25" s="23" t="s">
        <v>38</v>
      </c>
      <c r="R25" s="23" t="s">
        <v>38</v>
      </c>
      <c r="S25" s="23" t="s">
        <v>38</v>
      </c>
      <c r="T25" s="23" t="s">
        <v>38</v>
      </c>
      <c r="U25" s="23" t="s">
        <v>38</v>
      </c>
      <c r="V25" s="23" t="s">
        <v>38</v>
      </c>
      <c r="W25" s="23" t="s">
        <v>38</v>
      </c>
      <c r="X25" s="23" t="s">
        <v>38</v>
      </c>
      <c r="Y25" s="23" t="s">
        <v>38</v>
      </c>
      <c r="Z25" s="23" t="s">
        <v>38</v>
      </c>
      <c r="AA25" s="23" t="s">
        <v>38</v>
      </c>
      <c r="AB25" s="23" t="s">
        <v>38</v>
      </c>
      <c r="AC25" s="23" t="s">
        <v>38</v>
      </c>
      <c r="AD25" s="23" t="s">
        <v>38</v>
      </c>
      <c r="AE25" s="23" t="s">
        <v>38</v>
      </c>
      <c r="AF25" s="23" t="s">
        <v>38</v>
      </c>
      <c r="AG25" s="23" t="s">
        <v>38</v>
      </c>
      <c r="AH25" s="23" t="s">
        <v>38</v>
      </c>
      <c r="AI25" s="23" t="s">
        <v>38</v>
      </c>
      <c r="AJ25" s="23" t="s">
        <v>38</v>
      </c>
      <c r="AK25" s="23" t="s">
        <v>38</v>
      </c>
      <c r="AL25" s="23" t="s">
        <v>38</v>
      </c>
      <c r="AM25" s="23" t="s">
        <v>38</v>
      </c>
      <c r="AN25" s="23" t="s">
        <v>38</v>
      </c>
      <c r="AO25" s="23" t="s">
        <v>38</v>
      </c>
      <c r="AP25" s="23" t="s">
        <v>38</v>
      </c>
      <c r="AQ25" s="23" t="s">
        <v>38</v>
      </c>
      <c r="AR25" s="23" t="s">
        <v>38</v>
      </c>
      <c r="AS25" s="23" t="s">
        <v>38</v>
      </c>
      <c r="AT25" s="23" t="s">
        <v>38</v>
      </c>
      <c r="AU25" s="23" t="s">
        <v>38</v>
      </c>
      <c r="AV25" s="23" t="s">
        <v>38</v>
      </c>
      <c r="AW25" s="23" t="s">
        <v>38</v>
      </c>
      <c r="AX25" s="23" t="s">
        <v>38</v>
      </c>
      <c r="AY25" s="23" t="s">
        <v>38</v>
      </c>
      <c r="AZ25" s="23" t="s">
        <v>38</v>
      </c>
      <c r="BA25" s="23" t="s">
        <v>38</v>
      </c>
      <c r="BB25" s="23" t="s">
        <v>38</v>
      </c>
      <c r="BC25" s="23" t="s">
        <v>38</v>
      </c>
      <c r="BD25" s="23" t="s">
        <v>38</v>
      </c>
      <c r="BE25" s="23" t="s">
        <v>38</v>
      </c>
      <c r="BF25" s="23" t="s">
        <v>38</v>
      </c>
      <c r="BG25" s="23" t="s">
        <v>38</v>
      </c>
      <c r="BH25" s="23" t="s">
        <v>38</v>
      </c>
      <c r="BI25" s="23" t="s">
        <v>38</v>
      </c>
      <c r="BJ25" s="23" t="s">
        <v>38</v>
      </c>
      <c r="BK25" s="23" t="s">
        <v>38</v>
      </c>
      <c r="BL25" s="23" t="s">
        <v>38</v>
      </c>
      <c r="BM25" s="23" t="s">
        <v>38</v>
      </c>
      <c r="BN25" s="23" t="s">
        <v>38</v>
      </c>
      <c r="BO25" s="23" t="s">
        <v>38</v>
      </c>
      <c r="BP25" s="23" t="s">
        <v>38</v>
      </c>
      <c r="BQ25" s="23" t="s">
        <v>38</v>
      </c>
      <c r="BR25" s="23" t="s">
        <v>38</v>
      </c>
      <c r="BS25" s="23" t="s">
        <v>38</v>
      </c>
      <c r="BT25" s="23" t="s">
        <v>38</v>
      </c>
      <c r="BU25" s="23" t="s">
        <v>38</v>
      </c>
      <c r="BV25" s="23" t="s">
        <v>38</v>
      </c>
      <c r="BW25" s="23" t="s">
        <v>38</v>
      </c>
      <c r="BX25" s="23" t="s">
        <v>38</v>
      </c>
      <c r="BY25" s="85" t="s">
        <v>38</v>
      </c>
      <c r="BZ25" s="85" t="s">
        <v>38</v>
      </c>
      <c r="CA25" s="86" t="s">
        <v>38</v>
      </c>
    </row>
    <row r="26" spans="1:79">
      <c r="A26" s="21">
        <v>15</v>
      </c>
      <c r="B26" s="82">
        <v>254457.11685300001</v>
      </c>
      <c r="C26" s="82">
        <v>4505584.8307699999</v>
      </c>
      <c r="D26" s="19">
        <v>0.3085</v>
      </c>
      <c r="E26" s="19">
        <v>0.32250000000000001</v>
      </c>
      <c r="F26" s="19">
        <v>0.32550000000000001</v>
      </c>
      <c r="G26" s="19">
        <v>0.34749999999999998</v>
      </c>
      <c r="H26" s="19" t="s">
        <v>38</v>
      </c>
      <c r="I26" s="19">
        <v>0.3075</v>
      </c>
      <c r="J26" s="19">
        <v>0.29899999999999999</v>
      </c>
      <c r="K26" s="19">
        <v>0.251</v>
      </c>
      <c r="L26" s="19" t="s">
        <v>38</v>
      </c>
      <c r="M26" s="19" t="s">
        <v>38</v>
      </c>
      <c r="N26" s="23" t="s">
        <v>38</v>
      </c>
      <c r="O26" s="16">
        <v>0.23100000000000001</v>
      </c>
      <c r="P26" s="23" t="s">
        <v>38</v>
      </c>
      <c r="Q26" s="23" t="s">
        <v>38</v>
      </c>
      <c r="R26" s="23" t="s">
        <v>38</v>
      </c>
      <c r="S26" s="23" t="s">
        <v>38</v>
      </c>
      <c r="T26" s="40">
        <v>0.46700000000000003</v>
      </c>
      <c r="U26" s="40">
        <v>0.40100000000000002</v>
      </c>
      <c r="V26" s="40">
        <v>0.441</v>
      </c>
      <c r="W26" s="40">
        <v>0.50700000000000001</v>
      </c>
      <c r="X26" s="40">
        <v>0.432</v>
      </c>
      <c r="Y26" s="40">
        <v>0.46899999999999997</v>
      </c>
      <c r="Z26" s="40">
        <v>0.48599999999999999</v>
      </c>
      <c r="AA26" s="40">
        <v>0.47199999999999998</v>
      </c>
      <c r="AB26" s="40">
        <v>0.45700000000000002</v>
      </c>
      <c r="AC26" s="40">
        <v>0.505</v>
      </c>
      <c r="AD26" s="40">
        <v>0.39800000000000002</v>
      </c>
      <c r="AE26" s="40">
        <v>0.39</v>
      </c>
      <c r="AF26" s="40">
        <v>0.436</v>
      </c>
      <c r="AG26" s="40">
        <v>0.315</v>
      </c>
      <c r="AH26" s="40">
        <v>0.33700000000000002</v>
      </c>
      <c r="AI26" s="40">
        <v>0.33500000000000002</v>
      </c>
      <c r="AJ26" s="40">
        <v>0.28000000000000003</v>
      </c>
      <c r="AK26" s="40">
        <v>0.26100000000000001</v>
      </c>
      <c r="AL26" s="40">
        <v>0.47899999999999998</v>
      </c>
      <c r="AM26" s="40">
        <v>0.45</v>
      </c>
      <c r="AN26" s="40">
        <v>0.35</v>
      </c>
      <c r="AO26" s="40">
        <v>0.28299999999999997</v>
      </c>
      <c r="AP26" s="40">
        <v>0.29599999999999999</v>
      </c>
      <c r="AQ26" s="40">
        <v>0.35499999999999998</v>
      </c>
      <c r="AR26" s="40">
        <v>0.34</v>
      </c>
      <c r="AS26" s="40">
        <v>0.32700000000000001</v>
      </c>
      <c r="AT26" s="40" t="s">
        <v>38</v>
      </c>
      <c r="AU26" s="40">
        <v>0.307</v>
      </c>
      <c r="AV26" s="40" t="s">
        <v>38</v>
      </c>
      <c r="AW26" s="40">
        <v>0.25600000000000001</v>
      </c>
      <c r="AX26" s="40">
        <v>0.23699999999999999</v>
      </c>
      <c r="AY26" s="40">
        <v>0.307</v>
      </c>
      <c r="AZ26" s="40">
        <v>0.30399999999999999</v>
      </c>
      <c r="BA26" s="40">
        <v>0.35399999999999998</v>
      </c>
      <c r="BB26" s="49">
        <v>0.33950000000000002</v>
      </c>
      <c r="BC26" s="40">
        <v>0.33450000000000002</v>
      </c>
      <c r="BD26" s="23" t="s">
        <v>38</v>
      </c>
      <c r="BE26" s="50">
        <v>0.33100000000000002</v>
      </c>
      <c r="BF26" s="50">
        <v>0.31900000000000001</v>
      </c>
      <c r="BG26" s="40">
        <v>0.375</v>
      </c>
      <c r="BH26" s="38">
        <v>0.30549999999999999</v>
      </c>
      <c r="BI26" s="38">
        <v>0.32300000000000001</v>
      </c>
      <c r="BJ26" s="38">
        <v>0.36549999999999999</v>
      </c>
      <c r="BK26" s="38">
        <v>0.32500000000000001</v>
      </c>
      <c r="BL26" s="38">
        <v>0.30349999999999999</v>
      </c>
      <c r="BM26" s="38">
        <v>0.3145</v>
      </c>
      <c r="BN26" s="40">
        <v>0.32800000000000001</v>
      </c>
      <c r="BO26" s="40">
        <v>0.35599999999999998</v>
      </c>
      <c r="BP26" s="38">
        <v>0.31850000000000001</v>
      </c>
      <c r="BQ26" s="38">
        <v>0.32</v>
      </c>
      <c r="BR26" s="41">
        <v>0.32050000000000001</v>
      </c>
      <c r="BS26" s="41">
        <v>0.3175</v>
      </c>
      <c r="BT26" s="41">
        <v>0.30249999999999999</v>
      </c>
      <c r="BU26" s="42">
        <v>0.29549999999999998</v>
      </c>
      <c r="BV26" s="41">
        <v>0.29699999999999999</v>
      </c>
      <c r="BW26" s="42">
        <v>0.34699999999999998</v>
      </c>
      <c r="BX26" s="42" t="s">
        <v>38</v>
      </c>
      <c r="BY26" s="85">
        <f>(0.35+0.349)/2</f>
        <v>0.34949999999999998</v>
      </c>
      <c r="BZ26" s="85">
        <f>(0.342+0.346)/2</f>
        <v>0.34399999999999997</v>
      </c>
      <c r="CA26" s="86">
        <v>0.47899999999999998</v>
      </c>
    </row>
    <row r="27" spans="1:79">
      <c r="A27" s="21" t="s">
        <v>10</v>
      </c>
      <c r="B27" s="82">
        <v>254458.34024699999</v>
      </c>
      <c r="C27" s="82">
        <v>4505584.0551300002</v>
      </c>
      <c r="D27" s="19">
        <v>0.216</v>
      </c>
      <c r="E27" s="19">
        <v>0.32600000000000001</v>
      </c>
      <c r="F27" s="19">
        <v>0.34150000000000003</v>
      </c>
      <c r="G27" s="19">
        <v>0.36049999999999999</v>
      </c>
      <c r="H27" s="19">
        <v>0.33850000000000002</v>
      </c>
      <c r="I27" s="19">
        <v>0.3105</v>
      </c>
      <c r="J27" s="19">
        <v>0.3165</v>
      </c>
      <c r="K27" s="19">
        <v>0.26550000000000001</v>
      </c>
      <c r="L27" s="19">
        <v>0.27900000000000003</v>
      </c>
      <c r="M27" s="19">
        <v>0.25800000000000001</v>
      </c>
      <c r="N27" s="16">
        <v>0.27800000000000002</v>
      </c>
      <c r="O27" s="16">
        <v>0.23299999999999998</v>
      </c>
      <c r="P27" s="16">
        <v>0.26050000000000001</v>
      </c>
      <c r="Q27" s="16">
        <v>0.28599999999999998</v>
      </c>
      <c r="R27" s="16">
        <v>0.371</v>
      </c>
      <c r="S27" s="16">
        <v>0.311</v>
      </c>
      <c r="T27" s="40">
        <v>0.48899999999999999</v>
      </c>
      <c r="U27" s="40">
        <v>0.37</v>
      </c>
      <c r="V27" s="40">
        <v>0.36699999999999999</v>
      </c>
      <c r="W27" s="40">
        <v>0.45900000000000002</v>
      </c>
      <c r="X27" s="40">
        <v>0.376</v>
      </c>
      <c r="Y27" s="40" t="s">
        <v>38</v>
      </c>
      <c r="Z27" s="40">
        <v>0.41</v>
      </c>
      <c r="AA27" s="40">
        <v>0.4</v>
      </c>
      <c r="AB27" s="40">
        <v>0.41399999999999998</v>
      </c>
      <c r="AC27" s="40">
        <v>0.39900000000000002</v>
      </c>
      <c r="AD27" s="40">
        <v>0.35499999999999998</v>
      </c>
      <c r="AE27" s="40" t="s">
        <v>38</v>
      </c>
      <c r="AF27" s="40">
        <v>0.34599999999999997</v>
      </c>
      <c r="AG27" s="40">
        <v>0.36899999999999999</v>
      </c>
      <c r="AH27" s="40">
        <v>0.33900000000000002</v>
      </c>
      <c r="AI27" s="40">
        <v>0.34399999999999997</v>
      </c>
      <c r="AJ27" s="40" t="s">
        <v>38</v>
      </c>
      <c r="AK27" s="40">
        <v>0.31900000000000001</v>
      </c>
      <c r="AL27" s="40" t="s">
        <v>38</v>
      </c>
      <c r="AM27" s="40">
        <v>0.42399999999999999</v>
      </c>
      <c r="AN27" s="40">
        <v>0.32500000000000001</v>
      </c>
      <c r="AO27" s="40" t="s">
        <v>38</v>
      </c>
      <c r="AP27" s="40" t="s">
        <v>38</v>
      </c>
      <c r="AQ27" s="40">
        <v>0.35199999999999998</v>
      </c>
      <c r="AR27" s="40" t="s">
        <v>38</v>
      </c>
      <c r="AS27" s="40">
        <v>0.35099999999999998</v>
      </c>
      <c r="AT27" s="40" t="s">
        <v>38</v>
      </c>
      <c r="AU27" s="40">
        <v>0.313</v>
      </c>
      <c r="AV27" s="40" t="s">
        <v>38</v>
      </c>
      <c r="AW27" s="40" t="s">
        <v>38</v>
      </c>
      <c r="AX27" s="40" t="s">
        <v>38</v>
      </c>
      <c r="AY27" s="40">
        <v>0.33100000000000002</v>
      </c>
      <c r="AZ27" s="40">
        <v>0.32500000000000001</v>
      </c>
      <c r="BA27" s="40">
        <v>0.32200000000000001</v>
      </c>
      <c r="BB27" s="49">
        <v>0.32200000000000001</v>
      </c>
      <c r="BC27" s="40">
        <v>0.23550000000000001</v>
      </c>
      <c r="BD27" s="23" t="s">
        <v>38</v>
      </c>
      <c r="BE27" s="50">
        <v>0.33899999999999997</v>
      </c>
      <c r="BF27" s="50">
        <v>0.32700000000000001</v>
      </c>
      <c r="BG27" s="40">
        <v>0.39550000000000002</v>
      </c>
      <c r="BH27" s="38" t="s">
        <v>38</v>
      </c>
      <c r="BI27" s="38" t="s">
        <v>38</v>
      </c>
      <c r="BJ27" s="39" t="s">
        <v>38</v>
      </c>
      <c r="BK27" s="38">
        <v>0.34299999999999997</v>
      </c>
      <c r="BL27" s="38">
        <v>0.3145</v>
      </c>
      <c r="BM27" s="39" t="s">
        <v>38</v>
      </c>
      <c r="BN27" s="39" t="s">
        <v>38</v>
      </c>
      <c r="BO27" s="39" t="s">
        <v>38</v>
      </c>
      <c r="BP27" s="39" t="s">
        <v>38</v>
      </c>
      <c r="BQ27" s="38">
        <v>0.32750000000000001</v>
      </c>
      <c r="BR27" s="41">
        <v>0.32700000000000001</v>
      </c>
      <c r="BS27" s="41">
        <v>0.33300000000000002</v>
      </c>
      <c r="BT27" s="41">
        <v>0.33850000000000002</v>
      </c>
      <c r="BU27" s="42">
        <v>0.31900000000000001</v>
      </c>
      <c r="BV27" s="41" t="s">
        <v>38</v>
      </c>
      <c r="BW27" s="42">
        <v>0.34199999999999997</v>
      </c>
      <c r="BX27" s="42">
        <v>0.29849999999999999</v>
      </c>
      <c r="BY27" s="85">
        <f>(0.375+0.378)/2</f>
        <v>0.3765</v>
      </c>
      <c r="BZ27" s="85">
        <f>(0.341+0.342)/2</f>
        <v>0.34150000000000003</v>
      </c>
      <c r="CA27" s="86">
        <v>0.47249999999999998</v>
      </c>
    </row>
    <row r="28" spans="1:79">
      <c r="A28" s="21" t="s">
        <v>11</v>
      </c>
      <c r="B28" s="82">
        <v>254456.479143</v>
      </c>
      <c r="C28" s="82">
        <v>4505583.56623</v>
      </c>
      <c r="D28" s="19">
        <v>0.35599999999999998</v>
      </c>
      <c r="E28" s="19">
        <v>0.33500000000000002</v>
      </c>
      <c r="F28" s="19">
        <v>0.373</v>
      </c>
      <c r="G28" s="19">
        <v>0.36299999999999999</v>
      </c>
      <c r="H28" s="19">
        <v>0.36249999999999999</v>
      </c>
      <c r="I28" s="19">
        <v>0.33500000000000002</v>
      </c>
      <c r="J28" s="19">
        <v>0.314</v>
      </c>
      <c r="K28" s="19">
        <v>0.28100000000000003</v>
      </c>
      <c r="L28" s="19">
        <v>0.29249999999999998</v>
      </c>
      <c r="M28" s="19">
        <v>0.2505</v>
      </c>
      <c r="N28" s="16">
        <v>0.28949999999999998</v>
      </c>
      <c r="O28" s="16">
        <v>0.25600000000000001</v>
      </c>
      <c r="P28" s="16" t="s">
        <v>38</v>
      </c>
      <c r="Q28" s="16">
        <v>0.28700000000000003</v>
      </c>
      <c r="R28" s="16" t="s">
        <v>38</v>
      </c>
      <c r="S28" s="16" t="s">
        <v>38</v>
      </c>
      <c r="T28" s="40">
        <v>0.42399999999999999</v>
      </c>
      <c r="U28" s="40">
        <v>0.39300000000000002</v>
      </c>
      <c r="V28" s="40">
        <v>0.39800000000000002</v>
      </c>
      <c r="W28" s="40">
        <v>0.46300000000000002</v>
      </c>
      <c r="X28" s="40">
        <v>0.41699999999999998</v>
      </c>
      <c r="Y28" s="40" t="s">
        <v>38</v>
      </c>
      <c r="Z28" s="40">
        <v>0.433</v>
      </c>
      <c r="AA28" s="40">
        <v>0.42899999999999999</v>
      </c>
      <c r="AB28" s="40">
        <v>0.41699999999999998</v>
      </c>
      <c r="AC28" s="40">
        <v>0.39</v>
      </c>
      <c r="AD28" s="40">
        <v>0.36399999999999999</v>
      </c>
      <c r="AE28" s="40" t="s">
        <v>38</v>
      </c>
      <c r="AF28" s="40">
        <v>0.34</v>
      </c>
      <c r="AG28" s="40">
        <v>0.34</v>
      </c>
      <c r="AH28" s="40">
        <v>0.33400000000000002</v>
      </c>
      <c r="AI28" s="40">
        <v>0.34300000000000003</v>
      </c>
      <c r="AJ28" s="40" t="s">
        <v>38</v>
      </c>
      <c r="AK28" s="40">
        <v>0.29799999999999999</v>
      </c>
      <c r="AL28" s="40" t="s">
        <v>38</v>
      </c>
      <c r="AM28" s="40">
        <v>0.41099999999999998</v>
      </c>
      <c r="AN28" s="40">
        <v>0.32100000000000001</v>
      </c>
      <c r="AO28" s="40" t="s">
        <v>38</v>
      </c>
      <c r="AP28" s="40" t="s">
        <v>38</v>
      </c>
      <c r="AQ28" s="40">
        <v>0.34</v>
      </c>
      <c r="AR28" s="40" t="s">
        <v>38</v>
      </c>
      <c r="AS28" s="40">
        <v>0.36899999999999999</v>
      </c>
      <c r="AT28" s="40" t="s">
        <v>38</v>
      </c>
      <c r="AU28" s="40">
        <v>0.34300000000000003</v>
      </c>
      <c r="AV28" s="40" t="s">
        <v>38</v>
      </c>
      <c r="AW28" s="40" t="s">
        <v>38</v>
      </c>
      <c r="AX28" s="40" t="s">
        <v>38</v>
      </c>
      <c r="AY28" s="40">
        <v>0.35299999999999998</v>
      </c>
      <c r="AZ28" s="40">
        <v>0.33900000000000002</v>
      </c>
      <c r="BA28" s="40">
        <v>0.34399999999999997</v>
      </c>
      <c r="BB28" s="49">
        <v>0.34150000000000003</v>
      </c>
      <c r="BC28" s="40">
        <v>0.35849999999999999</v>
      </c>
      <c r="BD28" s="23" t="s">
        <v>38</v>
      </c>
      <c r="BE28" s="50">
        <v>0.35050000000000003</v>
      </c>
      <c r="BF28" s="50">
        <v>0.27450000000000002</v>
      </c>
      <c r="BG28" s="40">
        <v>0.39200000000000002</v>
      </c>
      <c r="BH28" s="38" t="s">
        <v>38</v>
      </c>
      <c r="BI28" s="38" t="s">
        <v>38</v>
      </c>
      <c r="BJ28" s="39" t="s">
        <v>38</v>
      </c>
      <c r="BK28" s="38">
        <v>0.34</v>
      </c>
      <c r="BL28" s="38">
        <v>0.33750000000000002</v>
      </c>
      <c r="BM28" s="39" t="s">
        <v>38</v>
      </c>
      <c r="BN28" s="39" t="s">
        <v>38</v>
      </c>
      <c r="BO28" s="39" t="s">
        <v>38</v>
      </c>
      <c r="BP28" s="39" t="s">
        <v>38</v>
      </c>
      <c r="BQ28" s="38">
        <v>0.33</v>
      </c>
      <c r="BR28" s="41">
        <v>0.34</v>
      </c>
      <c r="BS28" s="41">
        <v>0.33850000000000002</v>
      </c>
      <c r="BT28" s="41">
        <v>0.28650000000000003</v>
      </c>
      <c r="BU28" s="42">
        <v>0.33</v>
      </c>
      <c r="BV28" s="41" t="s">
        <v>38</v>
      </c>
      <c r="BW28" s="42">
        <v>0.36765000000000003</v>
      </c>
      <c r="BX28" s="42" t="s">
        <v>38</v>
      </c>
      <c r="BY28" s="85">
        <f>(0.369+0.361)/2</f>
        <v>0.36499999999999999</v>
      </c>
      <c r="BZ28" s="85">
        <f>(0.358+0.342)/2</f>
        <v>0.35</v>
      </c>
      <c r="CA28" s="86">
        <v>0.48749999999999999</v>
      </c>
    </row>
    <row r="29" spans="1:79">
      <c r="A29" s="21" t="s">
        <v>12</v>
      </c>
      <c r="B29" s="82">
        <v>254455.93775099999</v>
      </c>
      <c r="C29" s="82">
        <v>4505585.4930299995</v>
      </c>
      <c r="D29" s="19">
        <v>0.33750000000000002</v>
      </c>
      <c r="E29" s="19">
        <v>0.33400000000000002</v>
      </c>
      <c r="F29" s="19">
        <v>0.34050000000000002</v>
      </c>
      <c r="G29" s="19">
        <v>0.35749999999999998</v>
      </c>
      <c r="H29" s="19">
        <v>0.34899999999999998</v>
      </c>
      <c r="I29" s="19">
        <v>0.35650000000000004</v>
      </c>
      <c r="J29" s="19">
        <v>0.32</v>
      </c>
      <c r="K29" s="19">
        <v>0.26550000000000001</v>
      </c>
      <c r="L29" s="19">
        <v>0.29899999999999999</v>
      </c>
      <c r="M29" s="19">
        <v>0.2505</v>
      </c>
      <c r="N29" s="16">
        <v>0.28049999999999997</v>
      </c>
      <c r="O29" s="16">
        <v>0.24</v>
      </c>
      <c r="P29" s="16" t="s">
        <v>38</v>
      </c>
      <c r="Q29" s="16">
        <v>0.3115</v>
      </c>
      <c r="R29" s="16" t="s">
        <v>38</v>
      </c>
      <c r="S29" s="16" t="s">
        <v>38</v>
      </c>
      <c r="T29" s="40">
        <v>0.42699999999999999</v>
      </c>
      <c r="U29" s="40">
        <v>0.36599999999999999</v>
      </c>
      <c r="V29" s="40">
        <v>0.40100000000000002</v>
      </c>
      <c r="W29" s="40">
        <v>0.44600000000000001</v>
      </c>
      <c r="X29" s="40">
        <v>0.41699999999999998</v>
      </c>
      <c r="Y29" s="40" t="s">
        <v>38</v>
      </c>
      <c r="Z29" s="40">
        <v>0.43</v>
      </c>
      <c r="AA29" s="40">
        <v>0.43099999999999999</v>
      </c>
      <c r="AB29" s="40">
        <v>0.434</v>
      </c>
      <c r="AC29" s="40">
        <v>0.45600000000000002</v>
      </c>
      <c r="AD29" s="40">
        <v>0.40300000000000002</v>
      </c>
      <c r="AE29" s="40" t="s">
        <v>38</v>
      </c>
      <c r="AF29" s="40">
        <v>0.38200000000000001</v>
      </c>
      <c r="AG29" s="40">
        <v>0.309</v>
      </c>
      <c r="AH29" s="40">
        <v>0.26300000000000001</v>
      </c>
      <c r="AI29" s="40">
        <v>0.252</v>
      </c>
      <c r="AJ29" s="40" t="s">
        <v>38</v>
      </c>
      <c r="AK29" s="40">
        <v>0.23400000000000001</v>
      </c>
      <c r="AL29" s="40" t="s">
        <v>38</v>
      </c>
      <c r="AM29" s="40">
        <v>0.45500000000000002</v>
      </c>
      <c r="AN29" s="40">
        <v>0.34599999999999997</v>
      </c>
      <c r="AO29" s="40" t="s">
        <v>38</v>
      </c>
      <c r="AP29" s="40" t="s">
        <v>38</v>
      </c>
      <c r="AQ29" s="40">
        <v>0.38600000000000001</v>
      </c>
      <c r="AR29" s="40" t="s">
        <v>38</v>
      </c>
      <c r="AS29" s="40">
        <v>0.39400000000000002</v>
      </c>
      <c r="AT29" s="40" t="s">
        <v>38</v>
      </c>
      <c r="AU29" s="40">
        <v>0.34</v>
      </c>
      <c r="AV29" s="40" t="s">
        <v>38</v>
      </c>
      <c r="AW29" s="40" t="s">
        <v>38</v>
      </c>
      <c r="AX29" s="40" t="s">
        <v>38</v>
      </c>
      <c r="AY29" s="40">
        <v>0.309</v>
      </c>
      <c r="AZ29" s="40">
        <v>0.307</v>
      </c>
      <c r="BA29" s="40">
        <v>0.32700000000000001</v>
      </c>
      <c r="BB29" s="49">
        <v>0.35449999999999998</v>
      </c>
      <c r="BC29" s="40">
        <v>0.34699999999999998</v>
      </c>
      <c r="BD29" s="23" t="s">
        <v>38</v>
      </c>
      <c r="BE29" s="50">
        <v>0.36199999999999999</v>
      </c>
      <c r="BF29" s="50">
        <v>0.27800000000000002</v>
      </c>
      <c r="BG29" s="40">
        <v>0.38250000000000001</v>
      </c>
      <c r="BH29" s="38" t="s">
        <v>38</v>
      </c>
      <c r="BI29" s="38" t="s">
        <v>38</v>
      </c>
      <c r="BJ29" s="39" t="s">
        <v>38</v>
      </c>
      <c r="BK29" s="38">
        <v>0.33</v>
      </c>
      <c r="BL29" s="38">
        <v>0.33550000000000002</v>
      </c>
      <c r="BM29" s="39" t="s">
        <v>38</v>
      </c>
      <c r="BN29" s="39" t="s">
        <v>38</v>
      </c>
      <c r="BO29" s="39" t="s">
        <v>38</v>
      </c>
      <c r="BP29" s="39" t="s">
        <v>38</v>
      </c>
      <c r="BQ29" s="38">
        <v>0.34250000000000003</v>
      </c>
      <c r="BR29" s="41">
        <v>0.32900000000000001</v>
      </c>
      <c r="BS29" s="41">
        <v>0.34350000000000003</v>
      </c>
      <c r="BT29" s="41">
        <v>0.32250000000000001</v>
      </c>
      <c r="BU29" s="42">
        <v>0.316</v>
      </c>
      <c r="BV29" s="41" t="s">
        <v>38</v>
      </c>
      <c r="BW29" s="42">
        <v>0.33500000000000002</v>
      </c>
      <c r="BX29" s="42">
        <v>0.316</v>
      </c>
      <c r="BY29" s="85">
        <f>(0.358+0.373)/2</f>
        <v>0.36549999999999999</v>
      </c>
      <c r="BZ29" s="85">
        <f>(0.359+0.353)/2</f>
        <v>0.35599999999999998</v>
      </c>
      <c r="CA29" s="86">
        <v>0.48899999999999999</v>
      </c>
    </row>
    <row r="30" spans="1:79">
      <c r="A30" s="21" t="s">
        <v>13</v>
      </c>
      <c r="B30" s="82">
        <v>254457.878004</v>
      </c>
      <c r="C30" s="82">
        <v>4505586.0580200003</v>
      </c>
      <c r="D30" s="19">
        <v>0.33550000000000002</v>
      </c>
      <c r="E30" s="19">
        <v>0.32650000000000001</v>
      </c>
      <c r="F30" s="19">
        <v>0.33950000000000002</v>
      </c>
      <c r="G30" s="19">
        <v>0.34199999999999997</v>
      </c>
      <c r="H30" s="19">
        <v>0.34399999999999997</v>
      </c>
      <c r="I30" s="19">
        <v>0.30249999999999999</v>
      </c>
      <c r="J30" s="19">
        <v>0.28600000000000003</v>
      </c>
      <c r="K30" s="19">
        <v>0.251</v>
      </c>
      <c r="L30" s="19">
        <v>0.27</v>
      </c>
      <c r="M30" s="19">
        <v>0.23349999999999999</v>
      </c>
      <c r="N30" s="16">
        <v>0.26200000000000001</v>
      </c>
      <c r="O30" s="16">
        <v>0.23250000000000001</v>
      </c>
      <c r="P30" s="16" t="s">
        <v>38</v>
      </c>
      <c r="Q30" s="16">
        <v>0.28299999999999997</v>
      </c>
      <c r="R30" s="16" t="s">
        <v>38</v>
      </c>
      <c r="S30" s="16" t="s">
        <v>38</v>
      </c>
      <c r="T30" s="40">
        <v>0.39400000000000002</v>
      </c>
      <c r="U30" s="40">
        <v>0.38900000000000001</v>
      </c>
      <c r="V30" s="40">
        <v>0.38400000000000001</v>
      </c>
      <c r="W30" s="40">
        <v>0.45400000000000001</v>
      </c>
      <c r="X30" s="40">
        <v>0.38700000000000001</v>
      </c>
      <c r="Y30" s="40" t="s">
        <v>38</v>
      </c>
      <c r="Z30" s="40">
        <v>0.39100000000000001</v>
      </c>
      <c r="AA30" s="40">
        <v>0.41</v>
      </c>
      <c r="AB30" s="40">
        <v>0.39400000000000002</v>
      </c>
      <c r="AC30" s="40">
        <v>0.41699999999999998</v>
      </c>
      <c r="AD30" s="40">
        <v>0.35099999999999998</v>
      </c>
      <c r="AE30" s="40" t="s">
        <v>38</v>
      </c>
      <c r="AF30" s="40">
        <v>0.36099999999999999</v>
      </c>
      <c r="AG30" s="40">
        <v>0.30499999999999999</v>
      </c>
      <c r="AH30" s="40">
        <v>0.27300000000000002</v>
      </c>
      <c r="AI30" s="40">
        <v>0.315</v>
      </c>
      <c r="AJ30" s="40" t="s">
        <v>38</v>
      </c>
      <c r="AK30" s="40">
        <v>0.28000000000000003</v>
      </c>
      <c r="AL30" s="40" t="s">
        <v>38</v>
      </c>
      <c r="AM30" s="40">
        <v>0.40699999999999997</v>
      </c>
      <c r="AN30" s="40">
        <v>0.32400000000000001</v>
      </c>
      <c r="AO30" s="40" t="s">
        <v>38</v>
      </c>
      <c r="AP30" s="40" t="s">
        <v>38</v>
      </c>
      <c r="AQ30" s="40">
        <v>0.39</v>
      </c>
      <c r="AR30" s="40" t="s">
        <v>38</v>
      </c>
      <c r="AS30" s="40">
        <v>0.32400000000000001</v>
      </c>
      <c r="AT30" s="40" t="s">
        <v>38</v>
      </c>
      <c r="AU30" s="40">
        <v>0.29099999999999998</v>
      </c>
      <c r="AV30" s="40" t="s">
        <v>38</v>
      </c>
      <c r="AW30" s="40" t="s">
        <v>38</v>
      </c>
      <c r="AX30" s="40" t="s">
        <v>38</v>
      </c>
      <c r="AY30" s="40">
        <v>0.32900000000000001</v>
      </c>
      <c r="AZ30" s="40">
        <v>0.29599999999999999</v>
      </c>
      <c r="BA30" s="40">
        <v>0.32500000000000001</v>
      </c>
      <c r="BB30" s="49">
        <v>0.33050000000000002</v>
      </c>
      <c r="BC30" s="40">
        <v>0.39200000000000002</v>
      </c>
      <c r="BD30" s="23" t="s">
        <v>38</v>
      </c>
      <c r="BE30" s="50">
        <v>0.34499999999999997</v>
      </c>
      <c r="BF30" s="50">
        <v>0.27300000000000002</v>
      </c>
      <c r="BG30" s="40">
        <v>0.4</v>
      </c>
      <c r="BH30" s="38" t="s">
        <v>38</v>
      </c>
      <c r="BI30" s="38" t="s">
        <v>38</v>
      </c>
      <c r="BJ30" s="39" t="s">
        <v>38</v>
      </c>
      <c r="BK30" s="38">
        <v>0.34949999999999998</v>
      </c>
      <c r="BL30" s="38">
        <v>0.31900000000000001</v>
      </c>
      <c r="BM30" s="39" t="s">
        <v>38</v>
      </c>
      <c r="BN30" s="39" t="s">
        <v>38</v>
      </c>
      <c r="BO30" s="39" t="s">
        <v>38</v>
      </c>
      <c r="BP30" s="39" t="s">
        <v>38</v>
      </c>
      <c r="BQ30" s="38">
        <v>0.30149999999999999</v>
      </c>
      <c r="BR30" s="41">
        <v>0.316</v>
      </c>
      <c r="BS30" s="41">
        <v>0.29149999999999998</v>
      </c>
      <c r="BT30" s="41">
        <v>0.30099999999999999</v>
      </c>
      <c r="BU30" s="42">
        <v>0.28849999999999998</v>
      </c>
      <c r="BV30" s="41" t="s">
        <v>38</v>
      </c>
      <c r="BW30" s="42">
        <v>0.33399999999999996</v>
      </c>
      <c r="BX30" s="42" t="s">
        <v>38</v>
      </c>
      <c r="BY30" s="85">
        <f>(0.377+0.393)/2</f>
        <v>0.38500000000000001</v>
      </c>
      <c r="BZ30" s="85">
        <f>(0.353+0.341)/2</f>
        <v>0.34699999999999998</v>
      </c>
      <c r="CA30" s="86">
        <v>0.47599999999999998</v>
      </c>
    </row>
    <row r="31" spans="1:79">
      <c r="A31" s="21">
        <v>22</v>
      </c>
      <c r="B31" s="82">
        <v>254501.52615300001</v>
      </c>
      <c r="C31" s="82">
        <v>4505594.6980400002</v>
      </c>
      <c r="D31" s="19" t="s">
        <v>38</v>
      </c>
      <c r="E31" s="19">
        <v>0.35599999999999998</v>
      </c>
      <c r="F31" s="19">
        <v>0.378</v>
      </c>
      <c r="G31" s="19">
        <v>0.379</v>
      </c>
      <c r="H31" s="19">
        <v>0.3775</v>
      </c>
      <c r="I31" s="19">
        <v>0.30099999999999999</v>
      </c>
      <c r="J31" s="19">
        <v>0.29799999999999999</v>
      </c>
      <c r="K31" s="19">
        <v>0.2445</v>
      </c>
      <c r="L31" s="19">
        <v>0.29549999999999998</v>
      </c>
      <c r="M31" s="19">
        <v>0.2165</v>
      </c>
      <c r="N31" s="16">
        <v>0.27400000000000002</v>
      </c>
      <c r="O31" s="16">
        <v>0.21049999999999999</v>
      </c>
      <c r="P31" s="16">
        <v>0.22650000000000001</v>
      </c>
      <c r="Q31" s="16">
        <v>0.32200000000000001</v>
      </c>
      <c r="R31" s="16">
        <v>0.35949999999999999</v>
      </c>
      <c r="S31" s="16">
        <v>0.33799999999999997</v>
      </c>
      <c r="T31" s="51">
        <v>0.40200000000000002</v>
      </c>
      <c r="U31" s="51">
        <v>0.39700000000000002</v>
      </c>
      <c r="V31" s="51">
        <v>0.375</v>
      </c>
      <c r="W31" s="51">
        <v>0.45500000000000002</v>
      </c>
      <c r="X31" s="51">
        <v>0.39</v>
      </c>
      <c r="Y31" s="51">
        <v>0.39400000000000002</v>
      </c>
      <c r="Z31" s="51">
        <v>0.39800000000000002</v>
      </c>
      <c r="AA31" s="51">
        <v>0.39500000000000002</v>
      </c>
      <c r="AB31" s="51">
        <v>0.40899999999999997</v>
      </c>
      <c r="AC31" s="51">
        <v>0.432</v>
      </c>
      <c r="AD31" s="51">
        <v>0.40699999999999997</v>
      </c>
      <c r="AE31" s="51">
        <v>0.34899999999999998</v>
      </c>
      <c r="AF31" s="51">
        <v>0.317</v>
      </c>
      <c r="AG31" s="51">
        <v>0.312</v>
      </c>
      <c r="AH31" s="51">
        <v>0.28499999999999998</v>
      </c>
      <c r="AI31" s="51">
        <v>0.28699999999999998</v>
      </c>
      <c r="AJ31" s="51">
        <v>0.28399999999999997</v>
      </c>
      <c r="AK31" s="51">
        <v>0.20799999999999999</v>
      </c>
      <c r="AL31" s="51">
        <v>0.433</v>
      </c>
      <c r="AM31" s="51">
        <v>0.432</v>
      </c>
      <c r="AN31" s="51">
        <v>0.32500000000000001</v>
      </c>
      <c r="AO31" s="51">
        <v>0.27800000000000002</v>
      </c>
      <c r="AP31" s="51">
        <v>0.32200000000000001</v>
      </c>
      <c r="AQ31" s="51">
        <v>0.35499999999999998</v>
      </c>
      <c r="AR31" s="51">
        <v>0.33800000000000002</v>
      </c>
      <c r="AS31" s="51">
        <v>0.28699999999999998</v>
      </c>
      <c r="AT31" s="51">
        <v>0.33800000000000002</v>
      </c>
      <c r="AU31" s="51">
        <v>0.32600000000000001</v>
      </c>
      <c r="AV31" s="51">
        <v>0.27200000000000002</v>
      </c>
      <c r="AW31" s="51">
        <v>0.251</v>
      </c>
      <c r="AX31" s="51" t="s">
        <v>38</v>
      </c>
      <c r="AY31" s="51">
        <v>0.33400000000000002</v>
      </c>
      <c r="AZ31" s="51">
        <v>0.32</v>
      </c>
      <c r="BA31" s="51">
        <v>0.33100000000000002</v>
      </c>
      <c r="BB31" s="52">
        <v>0.26550000000000001</v>
      </c>
      <c r="BC31" s="51">
        <v>0.33150000000000002</v>
      </c>
      <c r="BD31" s="23" t="s">
        <v>38</v>
      </c>
      <c r="BE31" s="53" t="s">
        <v>38</v>
      </c>
      <c r="BF31" s="54" t="s">
        <v>38</v>
      </c>
      <c r="BG31" s="51">
        <v>0.40500000000000003</v>
      </c>
      <c r="BH31" s="38">
        <v>0.32950000000000002</v>
      </c>
      <c r="BI31" s="38">
        <v>0.38200000000000001</v>
      </c>
      <c r="BJ31" s="38">
        <v>0.36749999999999999</v>
      </c>
      <c r="BK31" s="38">
        <v>0.35899999999999999</v>
      </c>
      <c r="BL31" s="38">
        <v>0.32400000000000001</v>
      </c>
      <c r="BM31" s="38">
        <v>0.36</v>
      </c>
      <c r="BN31" s="55" t="s">
        <v>38</v>
      </c>
      <c r="BO31" s="51">
        <v>0.31950000000000001</v>
      </c>
      <c r="BP31" s="38">
        <v>0.35399999999999998</v>
      </c>
      <c r="BQ31" s="38">
        <v>0.3105</v>
      </c>
      <c r="BR31" s="56">
        <v>0.33200000000000002</v>
      </c>
      <c r="BS31" s="56">
        <v>0.314</v>
      </c>
      <c r="BT31" s="56">
        <v>0.30399999999999999</v>
      </c>
      <c r="BU31" s="42">
        <v>0.29799999999999999</v>
      </c>
      <c r="BV31" s="56">
        <v>0.33950000000000002</v>
      </c>
      <c r="BW31" s="42">
        <v>0.36299999999999999</v>
      </c>
      <c r="BX31" s="42">
        <v>0.33400000000000002</v>
      </c>
      <c r="BY31" s="85">
        <f>(0.364+0.374)/2</f>
        <v>0.36899999999999999</v>
      </c>
      <c r="BZ31" s="85">
        <f>(0.344+0.348)/2</f>
        <v>0.34599999999999997</v>
      </c>
      <c r="CA31" s="86">
        <v>0.50049999999999994</v>
      </c>
    </row>
    <row r="32" spans="1:79">
      <c r="A32" s="21">
        <v>23</v>
      </c>
      <c r="B32" s="83">
        <v>254520.12336</v>
      </c>
      <c r="C32" s="83">
        <v>4505551.7588200001</v>
      </c>
      <c r="D32" s="19" t="s">
        <v>38</v>
      </c>
      <c r="E32" s="19" t="s">
        <v>38</v>
      </c>
      <c r="F32" s="19" t="s">
        <v>38</v>
      </c>
      <c r="G32" s="19" t="s">
        <v>38</v>
      </c>
      <c r="H32" s="19" t="s">
        <v>38</v>
      </c>
      <c r="I32" s="19" t="s">
        <v>38</v>
      </c>
      <c r="J32" s="19" t="s">
        <v>38</v>
      </c>
      <c r="K32" s="19" t="s">
        <v>38</v>
      </c>
      <c r="L32" s="19" t="s">
        <v>38</v>
      </c>
      <c r="M32" s="19" t="s">
        <v>38</v>
      </c>
      <c r="N32" s="23" t="s">
        <v>38</v>
      </c>
      <c r="O32" s="23" t="s">
        <v>38</v>
      </c>
      <c r="P32" s="23" t="s">
        <v>38</v>
      </c>
      <c r="Q32" s="23" t="s">
        <v>38</v>
      </c>
      <c r="R32" s="23" t="s">
        <v>38</v>
      </c>
      <c r="S32" s="23" t="s">
        <v>38</v>
      </c>
      <c r="T32" s="23" t="s">
        <v>38</v>
      </c>
      <c r="U32" s="23" t="s">
        <v>38</v>
      </c>
      <c r="V32" s="23" t="s">
        <v>38</v>
      </c>
      <c r="W32" s="23" t="s">
        <v>38</v>
      </c>
      <c r="X32" s="23" t="s">
        <v>38</v>
      </c>
      <c r="Y32" s="23" t="s">
        <v>38</v>
      </c>
      <c r="Z32" s="23" t="s">
        <v>38</v>
      </c>
      <c r="AA32" s="23" t="s">
        <v>38</v>
      </c>
      <c r="AB32" s="23" t="s">
        <v>38</v>
      </c>
      <c r="AC32" s="23" t="s">
        <v>38</v>
      </c>
      <c r="AD32" s="23" t="s">
        <v>38</v>
      </c>
      <c r="AE32" s="23" t="s">
        <v>38</v>
      </c>
      <c r="AF32" s="23" t="s">
        <v>38</v>
      </c>
      <c r="AG32" s="23" t="s">
        <v>38</v>
      </c>
      <c r="AH32" s="23" t="s">
        <v>38</v>
      </c>
      <c r="AI32" s="23" t="s">
        <v>38</v>
      </c>
      <c r="AJ32" s="23" t="s">
        <v>38</v>
      </c>
      <c r="AK32" s="23" t="s">
        <v>38</v>
      </c>
      <c r="AL32" s="23" t="s">
        <v>38</v>
      </c>
      <c r="AM32" s="23" t="s">
        <v>38</v>
      </c>
      <c r="AN32" s="23" t="s">
        <v>38</v>
      </c>
      <c r="AO32" s="23" t="s">
        <v>38</v>
      </c>
      <c r="AP32" s="23" t="s">
        <v>38</v>
      </c>
      <c r="AQ32" s="23" t="s">
        <v>38</v>
      </c>
      <c r="AR32" s="23" t="s">
        <v>38</v>
      </c>
      <c r="AS32" s="23" t="s">
        <v>38</v>
      </c>
      <c r="AT32" s="23" t="s">
        <v>38</v>
      </c>
      <c r="AU32" s="23" t="s">
        <v>38</v>
      </c>
      <c r="AV32" s="23" t="s">
        <v>38</v>
      </c>
      <c r="AW32" s="23" t="s">
        <v>38</v>
      </c>
      <c r="AX32" s="23" t="s">
        <v>38</v>
      </c>
      <c r="AY32" s="23" t="s">
        <v>38</v>
      </c>
      <c r="AZ32" s="23" t="s">
        <v>38</v>
      </c>
      <c r="BA32" s="23" t="s">
        <v>38</v>
      </c>
      <c r="BB32" s="23" t="s">
        <v>38</v>
      </c>
      <c r="BC32" s="23" t="s">
        <v>38</v>
      </c>
      <c r="BD32" s="23" t="s">
        <v>38</v>
      </c>
      <c r="BE32" s="23" t="s">
        <v>38</v>
      </c>
      <c r="BF32" s="23" t="s">
        <v>38</v>
      </c>
      <c r="BG32" s="23" t="s">
        <v>38</v>
      </c>
      <c r="BH32" s="23" t="s">
        <v>38</v>
      </c>
      <c r="BI32" s="23" t="s">
        <v>38</v>
      </c>
      <c r="BJ32" s="23" t="s">
        <v>38</v>
      </c>
      <c r="BK32" s="23" t="s">
        <v>38</v>
      </c>
      <c r="BL32" s="23" t="s">
        <v>38</v>
      </c>
      <c r="BM32" s="23" t="s">
        <v>38</v>
      </c>
      <c r="BN32" s="23" t="s">
        <v>38</v>
      </c>
      <c r="BO32" s="23" t="s">
        <v>38</v>
      </c>
      <c r="BP32" s="23" t="s">
        <v>38</v>
      </c>
      <c r="BQ32" s="23" t="s">
        <v>38</v>
      </c>
      <c r="BR32" s="23" t="s">
        <v>38</v>
      </c>
      <c r="BS32" s="23" t="s">
        <v>38</v>
      </c>
      <c r="BT32" s="23" t="s">
        <v>38</v>
      </c>
      <c r="BU32" s="23" t="s">
        <v>38</v>
      </c>
      <c r="BV32" s="23" t="s">
        <v>38</v>
      </c>
      <c r="BW32" s="23" t="s">
        <v>38</v>
      </c>
      <c r="BX32" s="23" t="s">
        <v>38</v>
      </c>
      <c r="BY32" s="69" t="s">
        <v>38</v>
      </c>
      <c r="BZ32" s="69" t="s">
        <v>38</v>
      </c>
      <c r="CA32" s="86" t="s">
        <v>38</v>
      </c>
    </row>
    <row r="33" spans="1:79">
      <c r="A33" s="21">
        <v>24</v>
      </c>
      <c r="B33" s="83">
        <v>254528.53983200001</v>
      </c>
      <c r="C33" s="83">
        <v>4505511.7527299998</v>
      </c>
      <c r="D33" s="19" t="s">
        <v>38</v>
      </c>
      <c r="E33" s="19" t="s">
        <v>38</v>
      </c>
      <c r="F33" s="19" t="s">
        <v>38</v>
      </c>
      <c r="G33" s="19" t="s">
        <v>38</v>
      </c>
      <c r="H33" s="19" t="s">
        <v>38</v>
      </c>
      <c r="I33" s="19" t="s">
        <v>38</v>
      </c>
      <c r="J33" s="19" t="s">
        <v>38</v>
      </c>
      <c r="K33" s="19" t="s">
        <v>38</v>
      </c>
      <c r="L33" s="19" t="s">
        <v>38</v>
      </c>
      <c r="M33" s="19" t="s">
        <v>38</v>
      </c>
      <c r="N33" s="23" t="s">
        <v>38</v>
      </c>
      <c r="O33" s="23" t="s">
        <v>38</v>
      </c>
      <c r="P33" s="23" t="s">
        <v>38</v>
      </c>
      <c r="Q33" s="23" t="s">
        <v>38</v>
      </c>
      <c r="R33" s="23" t="s">
        <v>38</v>
      </c>
      <c r="S33" s="23" t="s">
        <v>38</v>
      </c>
      <c r="T33" s="23" t="s">
        <v>38</v>
      </c>
      <c r="U33" s="23" t="s">
        <v>38</v>
      </c>
      <c r="V33" s="23" t="s">
        <v>38</v>
      </c>
      <c r="W33" s="23" t="s">
        <v>38</v>
      </c>
      <c r="X33" s="23" t="s">
        <v>38</v>
      </c>
      <c r="Y33" s="23" t="s">
        <v>38</v>
      </c>
      <c r="Z33" s="23" t="s">
        <v>38</v>
      </c>
      <c r="AA33" s="23" t="s">
        <v>38</v>
      </c>
      <c r="AB33" s="23" t="s">
        <v>38</v>
      </c>
      <c r="AC33" s="23" t="s">
        <v>38</v>
      </c>
      <c r="AD33" s="23" t="s">
        <v>38</v>
      </c>
      <c r="AE33" s="23" t="s">
        <v>38</v>
      </c>
      <c r="AF33" s="23" t="s">
        <v>38</v>
      </c>
      <c r="AG33" s="23" t="s">
        <v>38</v>
      </c>
      <c r="AH33" s="23" t="s">
        <v>38</v>
      </c>
      <c r="AI33" s="23" t="s">
        <v>38</v>
      </c>
      <c r="AJ33" s="23" t="s">
        <v>38</v>
      </c>
      <c r="AK33" s="23" t="s">
        <v>38</v>
      </c>
      <c r="AL33" s="23" t="s">
        <v>38</v>
      </c>
      <c r="AM33" s="23" t="s">
        <v>38</v>
      </c>
      <c r="AN33" s="23" t="s">
        <v>38</v>
      </c>
      <c r="AO33" s="23" t="s">
        <v>38</v>
      </c>
      <c r="AP33" s="23" t="s">
        <v>38</v>
      </c>
      <c r="AQ33" s="23" t="s">
        <v>38</v>
      </c>
      <c r="AR33" s="23" t="s">
        <v>38</v>
      </c>
      <c r="AS33" s="23" t="s">
        <v>38</v>
      </c>
      <c r="AT33" s="23" t="s">
        <v>38</v>
      </c>
      <c r="AU33" s="23" t="s">
        <v>38</v>
      </c>
      <c r="AV33" s="23" t="s">
        <v>38</v>
      </c>
      <c r="AW33" s="23" t="s">
        <v>38</v>
      </c>
      <c r="AX33" s="23" t="s">
        <v>38</v>
      </c>
      <c r="AY33" s="23" t="s">
        <v>38</v>
      </c>
      <c r="AZ33" s="23" t="s">
        <v>38</v>
      </c>
      <c r="BA33" s="23" t="s">
        <v>38</v>
      </c>
      <c r="BB33" s="23" t="s">
        <v>38</v>
      </c>
      <c r="BC33" s="23" t="s">
        <v>38</v>
      </c>
      <c r="BD33" s="23" t="s">
        <v>38</v>
      </c>
      <c r="BE33" s="23" t="s">
        <v>38</v>
      </c>
      <c r="BF33" s="23" t="s">
        <v>38</v>
      </c>
      <c r="BG33" s="23" t="s">
        <v>38</v>
      </c>
      <c r="BH33" s="23" t="s">
        <v>38</v>
      </c>
      <c r="BI33" s="23" t="s">
        <v>38</v>
      </c>
      <c r="BJ33" s="23" t="s">
        <v>38</v>
      </c>
      <c r="BK33" s="23" t="s">
        <v>38</v>
      </c>
      <c r="BL33" s="23" t="s">
        <v>38</v>
      </c>
      <c r="BM33" s="23" t="s">
        <v>38</v>
      </c>
      <c r="BN33" s="23" t="s">
        <v>38</v>
      </c>
      <c r="BO33" s="23" t="s">
        <v>38</v>
      </c>
      <c r="BP33" s="23" t="s">
        <v>38</v>
      </c>
      <c r="BQ33" s="23" t="s">
        <v>38</v>
      </c>
      <c r="BR33" s="23" t="s">
        <v>38</v>
      </c>
      <c r="BS33" s="23" t="s">
        <v>38</v>
      </c>
      <c r="BT33" s="23" t="s">
        <v>38</v>
      </c>
      <c r="BU33" s="23" t="s">
        <v>38</v>
      </c>
      <c r="BV33" s="23" t="s">
        <v>38</v>
      </c>
      <c r="BW33" s="23" t="s">
        <v>38</v>
      </c>
      <c r="BX33" s="23" t="s">
        <v>38</v>
      </c>
      <c r="BY33" s="69" t="s">
        <v>38</v>
      </c>
      <c r="BZ33" s="69" t="s">
        <v>38</v>
      </c>
      <c r="CA33" s="86" t="s">
        <v>38</v>
      </c>
    </row>
    <row r="34" spans="1:79">
      <c r="A34" s="21">
        <v>25</v>
      </c>
      <c r="B34" s="83">
        <v>254506.98052099999</v>
      </c>
      <c r="C34" s="83">
        <v>4505562.6568999998</v>
      </c>
      <c r="D34" s="19" t="s">
        <v>38</v>
      </c>
      <c r="E34" s="19" t="s">
        <v>38</v>
      </c>
      <c r="F34" s="19" t="s">
        <v>38</v>
      </c>
      <c r="G34" s="19" t="s">
        <v>38</v>
      </c>
      <c r="H34" s="19" t="s">
        <v>38</v>
      </c>
      <c r="I34" s="19" t="s">
        <v>38</v>
      </c>
      <c r="J34" s="19" t="s">
        <v>38</v>
      </c>
      <c r="K34" s="19" t="s">
        <v>38</v>
      </c>
      <c r="L34" s="19" t="s">
        <v>38</v>
      </c>
      <c r="M34" s="19" t="s">
        <v>38</v>
      </c>
      <c r="N34" s="23" t="s">
        <v>38</v>
      </c>
      <c r="O34" s="23" t="s">
        <v>38</v>
      </c>
      <c r="P34" s="23" t="s">
        <v>38</v>
      </c>
      <c r="Q34" s="23" t="s">
        <v>38</v>
      </c>
      <c r="R34" s="23" t="s">
        <v>38</v>
      </c>
      <c r="S34" s="23" t="s">
        <v>38</v>
      </c>
      <c r="T34" s="23" t="s">
        <v>38</v>
      </c>
      <c r="U34" s="23" t="s">
        <v>38</v>
      </c>
      <c r="V34" s="23" t="s">
        <v>38</v>
      </c>
      <c r="W34" s="23" t="s">
        <v>38</v>
      </c>
      <c r="X34" s="23" t="s">
        <v>38</v>
      </c>
      <c r="Y34" s="23" t="s">
        <v>38</v>
      </c>
      <c r="Z34" s="23" t="s">
        <v>38</v>
      </c>
      <c r="AA34" s="23" t="s">
        <v>38</v>
      </c>
      <c r="AB34" s="23" t="s">
        <v>38</v>
      </c>
      <c r="AC34" s="23" t="s">
        <v>38</v>
      </c>
      <c r="AD34" s="23" t="s">
        <v>38</v>
      </c>
      <c r="AE34" s="23" t="s">
        <v>38</v>
      </c>
      <c r="AF34" s="23" t="s">
        <v>38</v>
      </c>
      <c r="AG34" s="23" t="s">
        <v>38</v>
      </c>
      <c r="AH34" s="23" t="s">
        <v>38</v>
      </c>
      <c r="AI34" s="23" t="s">
        <v>38</v>
      </c>
      <c r="AJ34" s="23" t="s">
        <v>38</v>
      </c>
      <c r="AK34" s="23" t="s">
        <v>38</v>
      </c>
      <c r="AL34" s="23" t="s">
        <v>38</v>
      </c>
      <c r="AM34" s="23" t="s">
        <v>38</v>
      </c>
      <c r="AN34" s="23" t="s">
        <v>38</v>
      </c>
      <c r="AO34" s="23" t="s">
        <v>38</v>
      </c>
      <c r="AP34" s="23" t="s">
        <v>38</v>
      </c>
      <c r="AQ34" s="23" t="s">
        <v>38</v>
      </c>
      <c r="AR34" s="23" t="s">
        <v>38</v>
      </c>
      <c r="AS34" s="23" t="s">
        <v>38</v>
      </c>
      <c r="AT34" s="23" t="s">
        <v>38</v>
      </c>
      <c r="AU34" s="23" t="s">
        <v>38</v>
      </c>
      <c r="AV34" s="23" t="s">
        <v>38</v>
      </c>
      <c r="AW34" s="23" t="s">
        <v>38</v>
      </c>
      <c r="AX34" s="23" t="s">
        <v>38</v>
      </c>
      <c r="AY34" s="23" t="s">
        <v>38</v>
      </c>
      <c r="AZ34" s="23" t="s">
        <v>38</v>
      </c>
      <c r="BA34" s="23" t="s">
        <v>38</v>
      </c>
      <c r="BB34" s="23" t="s">
        <v>38</v>
      </c>
      <c r="BC34" s="23" t="s">
        <v>38</v>
      </c>
      <c r="BD34" s="23" t="s">
        <v>38</v>
      </c>
      <c r="BE34" s="23" t="s">
        <v>38</v>
      </c>
      <c r="BF34" s="23" t="s">
        <v>38</v>
      </c>
      <c r="BG34" s="23" t="s">
        <v>38</v>
      </c>
      <c r="BH34" s="23" t="s">
        <v>38</v>
      </c>
      <c r="BI34" s="23" t="s">
        <v>38</v>
      </c>
      <c r="BJ34" s="23" t="s">
        <v>38</v>
      </c>
      <c r="BK34" s="23" t="s">
        <v>38</v>
      </c>
      <c r="BL34" s="23" t="s">
        <v>38</v>
      </c>
      <c r="BM34" s="23" t="s">
        <v>38</v>
      </c>
      <c r="BN34" s="23" t="s">
        <v>38</v>
      </c>
      <c r="BO34" s="23" t="s">
        <v>38</v>
      </c>
      <c r="BP34" s="23" t="s">
        <v>38</v>
      </c>
      <c r="BQ34" s="23" t="s">
        <v>38</v>
      </c>
      <c r="BR34" s="23" t="s">
        <v>38</v>
      </c>
      <c r="BS34" s="23" t="s">
        <v>38</v>
      </c>
      <c r="BT34" s="23" t="s">
        <v>38</v>
      </c>
      <c r="BU34" s="23" t="s">
        <v>38</v>
      </c>
      <c r="BV34" s="23" t="s">
        <v>38</v>
      </c>
      <c r="BW34" s="23" t="s">
        <v>38</v>
      </c>
      <c r="BX34" s="23" t="s">
        <v>38</v>
      </c>
      <c r="BY34" s="69" t="s">
        <v>38</v>
      </c>
      <c r="BZ34" s="69" t="s">
        <v>38</v>
      </c>
      <c r="CA34" s="86" t="s">
        <v>38</v>
      </c>
    </row>
    <row r="35" spans="1:79">
      <c r="A35" s="21">
        <v>26</v>
      </c>
      <c r="B35" s="83">
        <v>254533.69367800001</v>
      </c>
      <c r="C35" s="83">
        <v>4505540.5411999999</v>
      </c>
      <c r="D35" s="19" t="s">
        <v>38</v>
      </c>
      <c r="E35" s="19" t="s">
        <v>38</v>
      </c>
      <c r="F35" s="19" t="s">
        <v>38</v>
      </c>
      <c r="G35" s="19" t="s">
        <v>38</v>
      </c>
      <c r="H35" s="19" t="s">
        <v>38</v>
      </c>
      <c r="I35" s="19" t="s">
        <v>38</v>
      </c>
      <c r="J35" s="19" t="s">
        <v>38</v>
      </c>
      <c r="K35" s="19" t="s">
        <v>38</v>
      </c>
      <c r="L35" s="19" t="s">
        <v>38</v>
      </c>
      <c r="M35" s="19" t="s">
        <v>38</v>
      </c>
      <c r="N35" s="23" t="s">
        <v>38</v>
      </c>
      <c r="O35" s="23" t="s">
        <v>38</v>
      </c>
      <c r="P35" s="23" t="s">
        <v>38</v>
      </c>
      <c r="Q35" s="23" t="s">
        <v>38</v>
      </c>
      <c r="R35" s="23" t="s">
        <v>38</v>
      </c>
      <c r="S35" s="23" t="s">
        <v>38</v>
      </c>
      <c r="T35" s="23" t="s">
        <v>38</v>
      </c>
      <c r="U35" s="23" t="s">
        <v>38</v>
      </c>
      <c r="V35" s="23" t="s">
        <v>38</v>
      </c>
      <c r="W35" s="23" t="s">
        <v>38</v>
      </c>
      <c r="X35" s="23" t="s">
        <v>38</v>
      </c>
      <c r="Y35" s="23" t="s">
        <v>38</v>
      </c>
      <c r="Z35" s="23" t="s">
        <v>38</v>
      </c>
      <c r="AA35" s="23" t="s">
        <v>38</v>
      </c>
      <c r="AB35" s="23" t="s">
        <v>38</v>
      </c>
      <c r="AC35" s="23" t="s">
        <v>38</v>
      </c>
      <c r="AD35" s="23" t="s">
        <v>38</v>
      </c>
      <c r="AE35" s="23" t="s">
        <v>38</v>
      </c>
      <c r="AF35" s="23" t="s">
        <v>38</v>
      </c>
      <c r="AG35" s="23" t="s">
        <v>38</v>
      </c>
      <c r="AH35" s="23" t="s">
        <v>38</v>
      </c>
      <c r="AI35" s="23" t="s">
        <v>38</v>
      </c>
      <c r="AJ35" s="23" t="s">
        <v>38</v>
      </c>
      <c r="AK35" s="23" t="s">
        <v>38</v>
      </c>
      <c r="AL35" s="23" t="s">
        <v>38</v>
      </c>
      <c r="AM35" s="23" t="s">
        <v>38</v>
      </c>
      <c r="AN35" s="23" t="s">
        <v>38</v>
      </c>
      <c r="AO35" s="23" t="s">
        <v>38</v>
      </c>
      <c r="AP35" s="23" t="s">
        <v>38</v>
      </c>
      <c r="AQ35" s="23" t="s">
        <v>38</v>
      </c>
      <c r="AR35" s="23" t="s">
        <v>38</v>
      </c>
      <c r="AS35" s="23" t="s">
        <v>38</v>
      </c>
      <c r="AT35" s="23" t="s">
        <v>38</v>
      </c>
      <c r="AU35" s="23" t="s">
        <v>38</v>
      </c>
      <c r="AV35" s="23" t="s">
        <v>38</v>
      </c>
      <c r="AW35" s="23" t="s">
        <v>38</v>
      </c>
      <c r="AX35" s="23" t="s">
        <v>38</v>
      </c>
      <c r="AY35" s="23" t="s">
        <v>38</v>
      </c>
      <c r="AZ35" s="23" t="s">
        <v>38</v>
      </c>
      <c r="BA35" s="23" t="s">
        <v>38</v>
      </c>
      <c r="BB35" s="23" t="s">
        <v>38</v>
      </c>
      <c r="BC35" s="23" t="s">
        <v>38</v>
      </c>
      <c r="BD35" s="23" t="s">
        <v>38</v>
      </c>
      <c r="BE35" s="23" t="s">
        <v>38</v>
      </c>
      <c r="BF35" s="23" t="s">
        <v>38</v>
      </c>
      <c r="BG35" s="23" t="s">
        <v>38</v>
      </c>
      <c r="BH35" s="23" t="s">
        <v>38</v>
      </c>
      <c r="BI35" s="23" t="s">
        <v>38</v>
      </c>
      <c r="BJ35" s="23" t="s">
        <v>38</v>
      </c>
      <c r="BK35" s="23" t="s">
        <v>38</v>
      </c>
      <c r="BL35" s="23" t="s">
        <v>38</v>
      </c>
      <c r="BM35" s="23" t="s">
        <v>38</v>
      </c>
      <c r="BN35" s="23" t="s">
        <v>38</v>
      </c>
      <c r="BO35" s="23" t="s">
        <v>38</v>
      </c>
      <c r="BP35" s="23" t="s">
        <v>38</v>
      </c>
      <c r="BQ35" s="23" t="s">
        <v>38</v>
      </c>
      <c r="BR35" s="23" t="s">
        <v>38</v>
      </c>
      <c r="BS35" s="23" t="s">
        <v>38</v>
      </c>
      <c r="BT35" s="23" t="s">
        <v>38</v>
      </c>
      <c r="BU35" s="23" t="s">
        <v>38</v>
      </c>
      <c r="BV35" s="23" t="s">
        <v>38</v>
      </c>
      <c r="BW35" s="23" t="s">
        <v>38</v>
      </c>
      <c r="BX35" s="23" t="s">
        <v>38</v>
      </c>
      <c r="BY35" s="69" t="s">
        <v>38</v>
      </c>
      <c r="BZ35" s="69" t="s">
        <v>38</v>
      </c>
      <c r="CA35" s="86" t="s">
        <v>38</v>
      </c>
    </row>
    <row r="36" spans="1:79">
      <c r="A36" s="21">
        <v>27</v>
      </c>
      <c r="B36" s="82">
        <v>254513.240017</v>
      </c>
      <c r="C36" s="82">
        <v>4505597.2084600003</v>
      </c>
      <c r="D36" s="19" t="s">
        <v>38</v>
      </c>
      <c r="E36" s="19">
        <v>0.43</v>
      </c>
      <c r="F36" s="19">
        <v>0.46100000000000002</v>
      </c>
      <c r="G36" s="19">
        <v>0.46599999999999997</v>
      </c>
      <c r="H36" s="19">
        <v>0.4985</v>
      </c>
      <c r="I36" s="19">
        <v>0.28049999999999997</v>
      </c>
      <c r="J36" s="19">
        <v>0.26900000000000002</v>
      </c>
      <c r="K36" s="19">
        <v>0.23749999999999999</v>
      </c>
      <c r="L36" s="19">
        <v>0.28549999999999998</v>
      </c>
      <c r="M36" s="19">
        <v>0.24049999999999999</v>
      </c>
      <c r="N36" s="16">
        <v>0.27</v>
      </c>
      <c r="O36" s="16">
        <v>0.22850000000000001</v>
      </c>
      <c r="P36" s="16">
        <v>0.20800000000000002</v>
      </c>
      <c r="Q36" s="16">
        <v>0.34650000000000003</v>
      </c>
      <c r="R36" s="16">
        <v>0.34949999999999998</v>
      </c>
      <c r="S36" s="16">
        <v>0.24349999999999999</v>
      </c>
      <c r="T36" s="51">
        <v>0.54900000000000004</v>
      </c>
      <c r="U36" s="51">
        <v>0.74299999999999999</v>
      </c>
      <c r="V36" s="51">
        <v>0.96799999999999997</v>
      </c>
      <c r="W36" s="51">
        <v>0.85899999999999999</v>
      </c>
      <c r="X36" s="23" t="s">
        <v>38</v>
      </c>
      <c r="Y36" s="23" t="s">
        <v>38</v>
      </c>
      <c r="Z36" s="23" t="s">
        <v>38</v>
      </c>
      <c r="AA36" s="23" t="s">
        <v>38</v>
      </c>
      <c r="AB36" s="23" t="s">
        <v>38</v>
      </c>
      <c r="AC36" s="23" t="s">
        <v>38</v>
      </c>
      <c r="AD36" s="51">
        <v>0.39800000000000002</v>
      </c>
      <c r="AE36" s="51">
        <v>0.221</v>
      </c>
      <c r="AF36" s="51">
        <v>0.22600000000000001</v>
      </c>
      <c r="AG36" s="51">
        <v>0.2</v>
      </c>
      <c r="AH36" s="51">
        <v>0.08</v>
      </c>
      <c r="AI36" s="51">
        <v>0.16</v>
      </c>
      <c r="AJ36" s="51">
        <v>0.251</v>
      </c>
      <c r="AK36" s="51">
        <v>0.17</v>
      </c>
      <c r="AL36" s="51">
        <v>0.73899999999999999</v>
      </c>
      <c r="AM36" s="51">
        <v>0.47099999999999997</v>
      </c>
      <c r="AN36" s="51">
        <v>0.56299999999999994</v>
      </c>
      <c r="AO36" s="51">
        <v>0.39300000000000002</v>
      </c>
      <c r="AP36" s="51">
        <v>0.39800000000000002</v>
      </c>
      <c r="AQ36" s="51">
        <v>0.26800000000000002</v>
      </c>
      <c r="AR36" s="51">
        <v>0.27600000000000002</v>
      </c>
      <c r="AS36" s="51">
        <v>0.26400000000000001</v>
      </c>
      <c r="AT36" s="51">
        <v>0.255</v>
      </c>
      <c r="AU36" s="51">
        <v>0.26800000000000002</v>
      </c>
      <c r="AV36" s="51">
        <v>0.22900000000000001</v>
      </c>
      <c r="AW36" s="51">
        <v>0.20699999999999999</v>
      </c>
      <c r="AX36" s="51">
        <v>0.16</v>
      </c>
      <c r="AY36" s="51">
        <v>0.48699999999999999</v>
      </c>
      <c r="AZ36" s="51">
        <v>0.24</v>
      </c>
      <c r="BA36" s="51">
        <v>0.45500000000000002</v>
      </c>
      <c r="BB36" s="52">
        <v>0.19</v>
      </c>
      <c r="BC36" s="51">
        <v>0.30049999999999999</v>
      </c>
      <c r="BD36" s="23" t="s">
        <v>38</v>
      </c>
      <c r="BE36" s="23" t="s">
        <v>38</v>
      </c>
      <c r="BF36" s="23" t="s">
        <v>38</v>
      </c>
      <c r="BG36" s="51">
        <v>0.52649999999999997</v>
      </c>
      <c r="BH36" s="38">
        <v>0.39050000000000001</v>
      </c>
      <c r="BI36" s="38">
        <v>0.44800000000000001</v>
      </c>
      <c r="BJ36" s="38">
        <v>0.41899999999999998</v>
      </c>
      <c r="BK36" s="38">
        <v>0.40600000000000003</v>
      </c>
      <c r="BL36" s="38">
        <v>0.41849999999999998</v>
      </c>
      <c r="BM36" s="38">
        <v>0.45550000000000002</v>
      </c>
      <c r="BN36" s="23" t="s">
        <v>38</v>
      </c>
      <c r="BO36" s="51">
        <v>0.44350000000000001</v>
      </c>
      <c r="BP36" s="38">
        <v>0.45850000000000002</v>
      </c>
      <c r="BQ36" s="38">
        <v>0.22349999999999998</v>
      </c>
      <c r="BR36" s="56">
        <v>0.246</v>
      </c>
      <c r="BS36" s="56">
        <v>0.22399999999999998</v>
      </c>
      <c r="BT36" s="56">
        <v>0.22149999999999997</v>
      </c>
      <c r="BU36" s="42">
        <v>0.248</v>
      </c>
      <c r="BV36" s="56">
        <v>0.21100000000000002</v>
      </c>
      <c r="BW36" s="42">
        <v>0.36399999999999999</v>
      </c>
      <c r="BX36" s="42">
        <v>0.32550000000000001</v>
      </c>
      <c r="BY36" s="85">
        <f>(0.462+0.437)/2</f>
        <v>0.44950000000000001</v>
      </c>
      <c r="BZ36" s="85">
        <f>(0.403+0.401)/2</f>
        <v>0.40200000000000002</v>
      </c>
      <c r="CA36" s="86">
        <v>0.51749999999999996</v>
      </c>
    </row>
    <row r="37" spans="1:79">
      <c r="A37" s="21">
        <v>28</v>
      </c>
      <c r="B37" s="82">
        <v>254529.46167600001</v>
      </c>
      <c r="C37" s="82">
        <v>4505586.2259</v>
      </c>
      <c r="D37" s="19" t="s">
        <v>38</v>
      </c>
      <c r="E37" s="19">
        <v>0.33650000000000002</v>
      </c>
      <c r="F37" s="19">
        <v>0.33850000000000002</v>
      </c>
      <c r="G37" s="19">
        <v>0.34050000000000002</v>
      </c>
      <c r="H37" s="19">
        <v>0.32950000000000002</v>
      </c>
      <c r="I37" s="19">
        <v>0.27600000000000002</v>
      </c>
      <c r="J37" s="19">
        <v>0.2545</v>
      </c>
      <c r="K37" s="19">
        <v>0.1925</v>
      </c>
      <c r="L37" s="19">
        <v>0.20850000000000002</v>
      </c>
      <c r="M37" s="19">
        <v>0.17499999999999999</v>
      </c>
      <c r="N37" s="16">
        <v>0.21</v>
      </c>
      <c r="O37" s="16">
        <v>0.17649999999999999</v>
      </c>
      <c r="P37" s="16">
        <v>0.17949999999999999</v>
      </c>
      <c r="Q37" s="16">
        <v>0.2445</v>
      </c>
      <c r="R37" s="23" t="s">
        <v>38</v>
      </c>
      <c r="S37" s="16">
        <v>0.27500000000000002</v>
      </c>
      <c r="T37" s="51">
        <v>0.33400000000000002</v>
      </c>
      <c r="U37" s="51">
        <v>0.36</v>
      </c>
      <c r="V37" s="51">
        <v>0.36</v>
      </c>
      <c r="W37" s="51">
        <v>0.40600000000000003</v>
      </c>
      <c r="X37" s="51">
        <v>0.38600000000000001</v>
      </c>
      <c r="Y37" s="51">
        <v>0.40600000000000003</v>
      </c>
      <c r="Z37" s="51">
        <v>0.36099999999999999</v>
      </c>
      <c r="AA37" s="51">
        <v>0.40200000000000002</v>
      </c>
      <c r="AB37" s="51">
        <v>0.38100000000000001</v>
      </c>
      <c r="AC37" s="51">
        <v>0.38700000000000001</v>
      </c>
      <c r="AD37" s="51">
        <v>0.42899999999999999</v>
      </c>
      <c r="AE37" s="51">
        <v>0.38</v>
      </c>
      <c r="AF37" s="51">
        <v>0.27200000000000002</v>
      </c>
      <c r="AG37" s="51">
        <v>0.24299999999999999</v>
      </c>
      <c r="AH37" s="51">
        <v>0.216</v>
      </c>
      <c r="AI37" s="51">
        <v>0.24</v>
      </c>
      <c r="AJ37" s="51">
        <v>0.22800000000000001</v>
      </c>
      <c r="AK37" s="51">
        <v>0.192</v>
      </c>
      <c r="AL37" s="51">
        <v>0.38600000000000001</v>
      </c>
      <c r="AM37" s="51">
        <v>0.33500000000000002</v>
      </c>
      <c r="AN37" s="51">
        <v>0.30299999999999999</v>
      </c>
      <c r="AO37" s="51">
        <v>0.249</v>
      </c>
      <c r="AP37" s="51">
        <v>0.27100000000000002</v>
      </c>
      <c r="AQ37" s="51">
        <v>0.28999999999999998</v>
      </c>
      <c r="AR37" s="51">
        <v>0.28399999999999997</v>
      </c>
      <c r="AS37" s="51">
        <v>0.27600000000000002</v>
      </c>
      <c r="AT37" s="51">
        <v>0.27500000000000002</v>
      </c>
      <c r="AU37" s="51">
        <v>0.248</v>
      </c>
      <c r="AV37" s="51">
        <v>0.23</v>
      </c>
      <c r="AW37" s="51">
        <v>0.189</v>
      </c>
      <c r="AX37" s="51">
        <v>0.191</v>
      </c>
      <c r="AY37" s="51">
        <v>0.28599999999999998</v>
      </c>
      <c r="AZ37" s="51">
        <v>0.26500000000000001</v>
      </c>
      <c r="BA37" s="51">
        <v>0.27</v>
      </c>
      <c r="BB37" s="52">
        <v>0.2145</v>
      </c>
      <c r="BC37" s="51">
        <v>0.26400000000000001</v>
      </c>
      <c r="BD37" s="23" t="s">
        <v>38</v>
      </c>
      <c r="BE37" s="23" t="s">
        <v>38</v>
      </c>
      <c r="BF37" s="23" t="s">
        <v>38</v>
      </c>
      <c r="BG37" s="51">
        <v>0.33500000000000002</v>
      </c>
      <c r="BH37" s="38">
        <v>0.30149999999999999</v>
      </c>
      <c r="BI37" s="38">
        <v>0.33699999999999997</v>
      </c>
      <c r="BJ37" s="38">
        <v>0.32800000000000001</v>
      </c>
      <c r="BK37" s="38">
        <v>0.29849999999999999</v>
      </c>
      <c r="BL37" s="38">
        <v>0.30199999999999999</v>
      </c>
      <c r="BM37" s="38">
        <v>0.32700000000000001</v>
      </c>
      <c r="BN37" s="23" t="s">
        <v>38</v>
      </c>
      <c r="BO37" s="51">
        <v>0.32800000000000001</v>
      </c>
      <c r="BP37" s="38">
        <v>0.29349999999999998</v>
      </c>
      <c r="BQ37" s="38">
        <v>0.26950000000000002</v>
      </c>
      <c r="BR37" s="56">
        <v>0.27500000000000002</v>
      </c>
      <c r="BS37" s="56">
        <v>0.26100000000000001</v>
      </c>
      <c r="BT37" s="56">
        <v>0.25600000000000001</v>
      </c>
      <c r="BU37" s="42">
        <v>0.2545</v>
      </c>
      <c r="BV37" s="56">
        <v>0.27150000000000002</v>
      </c>
      <c r="BW37" s="42">
        <v>0.28300000000000003</v>
      </c>
      <c r="BX37" s="42">
        <v>0.253</v>
      </c>
      <c r="BY37" s="85">
        <f>(0.345+0.337)/2</f>
        <v>0.34099999999999997</v>
      </c>
      <c r="BZ37" s="85">
        <f>(0.33+0.35)/2</f>
        <v>0.33999999999999997</v>
      </c>
      <c r="CA37" s="86">
        <v>0.45200000000000001</v>
      </c>
    </row>
    <row r="38" spans="1:79">
      <c r="A38" s="21">
        <v>29</v>
      </c>
      <c r="B38" s="82">
        <v>254562.056644</v>
      </c>
      <c r="C38" s="82">
        <v>4505556.1068799999</v>
      </c>
      <c r="D38" s="19" t="s">
        <v>38</v>
      </c>
      <c r="E38" s="19">
        <v>0.3095</v>
      </c>
      <c r="F38" s="19">
        <v>0.3095</v>
      </c>
      <c r="G38" s="19">
        <v>0.38100000000000001</v>
      </c>
      <c r="H38" s="19">
        <v>0.32350000000000001</v>
      </c>
      <c r="I38" s="19">
        <v>0.255</v>
      </c>
      <c r="J38" s="19">
        <v>0.23749999999999999</v>
      </c>
      <c r="K38" s="19">
        <v>0.19400000000000001</v>
      </c>
      <c r="L38" s="19">
        <v>0.23049999999999998</v>
      </c>
      <c r="M38" s="19">
        <v>0.1885</v>
      </c>
      <c r="N38" s="16">
        <v>0.222</v>
      </c>
      <c r="O38" s="16">
        <v>0.1925</v>
      </c>
      <c r="P38" s="16">
        <v>0.19800000000000001</v>
      </c>
      <c r="Q38" s="16">
        <v>0.25</v>
      </c>
      <c r="R38" s="16">
        <v>0.27500000000000002</v>
      </c>
      <c r="S38" s="16">
        <v>0.28000000000000003</v>
      </c>
      <c r="T38" s="51" t="s">
        <v>38</v>
      </c>
      <c r="U38" s="51">
        <v>0.33900000000000002</v>
      </c>
      <c r="V38" s="51">
        <v>0.34</v>
      </c>
      <c r="W38" s="51">
        <v>0.35299999999999998</v>
      </c>
      <c r="X38" s="51">
        <v>0.35099999999999998</v>
      </c>
      <c r="Y38" s="51">
        <v>0.32900000000000001</v>
      </c>
      <c r="Z38" s="51">
        <v>0.34699999999999998</v>
      </c>
      <c r="AA38" s="51">
        <v>0.34399999999999997</v>
      </c>
      <c r="AB38" s="51">
        <v>0.36399999999999999</v>
      </c>
      <c r="AC38" s="51">
        <v>0.35299999999999998</v>
      </c>
      <c r="AD38" s="51">
        <v>0.35</v>
      </c>
      <c r="AE38" s="51">
        <v>0.32</v>
      </c>
      <c r="AF38" s="51">
        <v>0.25800000000000001</v>
      </c>
      <c r="AG38" s="51">
        <v>0.248</v>
      </c>
      <c r="AH38" s="51">
        <v>0.215</v>
      </c>
      <c r="AI38" s="51">
        <v>0.23799999999999999</v>
      </c>
      <c r="AJ38" s="51">
        <v>0.22900000000000001</v>
      </c>
      <c r="AK38" s="51">
        <v>0.21099999999999999</v>
      </c>
      <c r="AL38" s="51">
        <v>0.36</v>
      </c>
      <c r="AM38" s="51">
        <v>0.38700000000000001</v>
      </c>
      <c r="AN38" s="51">
        <v>0.29299999999999998</v>
      </c>
      <c r="AO38" s="51">
        <v>0.222</v>
      </c>
      <c r="AP38" s="51">
        <v>0.255</v>
      </c>
      <c r="AQ38" s="51">
        <v>0.28100000000000003</v>
      </c>
      <c r="AR38" s="51">
        <v>0.27</v>
      </c>
      <c r="AS38" s="51">
        <v>0.27900000000000003</v>
      </c>
      <c r="AT38" s="51">
        <v>0.26800000000000002</v>
      </c>
      <c r="AU38" s="51">
        <v>0.25700000000000001</v>
      </c>
      <c r="AV38" s="51">
        <v>0.246</v>
      </c>
      <c r="AW38" s="51">
        <v>0.21199999999999999</v>
      </c>
      <c r="AX38" s="51">
        <v>0.20799999999999999</v>
      </c>
      <c r="AY38" s="51">
        <v>0.24</v>
      </c>
      <c r="AZ38" s="51">
        <v>0.25600000000000001</v>
      </c>
      <c r="BA38" s="51">
        <v>0.26300000000000001</v>
      </c>
      <c r="BB38" s="52">
        <v>0.2175</v>
      </c>
      <c r="BC38" s="51">
        <v>0.27849999999999997</v>
      </c>
      <c r="BD38" s="23" t="s">
        <v>38</v>
      </c>
      <c r="BE38" s="23" t="s">
        <v>38</v>
      </c>
      <c r="BF38" s="23" t="s">
        <v>38</v>
      </c>
      <c r="BG38" s="51">
        <v>0.33350000000000002</v>
      </c>
      <c r="BH38" s="38">
        <v>0.27350000000000002</v>
      </c>
      <c r="BI38" s="38">
        <v>0.29599999999999999</v>
      </c>
      <c r="BJ38" s="38">
        <v>0.28050000000000003</v>
      </c>
      <c r="BK38" s="38">
        <v>0.27800000000000002</v>
      </c>
      <c r="BL38" s="38">
        <v>0.28100000000000003</v>
      </c>
      <c r="BM38" s="38">
        <v>0.314</v>
      </c>
      <c r="BN38" s="23" t="s">
        <v>38</v>
      </c>
      <c r="BO38" s="51">
        <v>0.27149999999999996</v>
      </c>
      <c r="BP38" s="38">
        <v>0.222</v>
      </c>
      <c r="BQ38" s="38">
        <v>0.2555</v>
      </c>
      <c r="BR38" s="56">
        <v>0.26500000000000001</v>
      </c>
      <c r="BS38" s="56" t="s">
        <v>38</v>
      </c>
      <c r="BT38" s="56">
        <v>0.23949999999999999</v>
      </c>
      <c r="BU38" s="42">
        <v>0.23849999999999999</v>
      </c>
      <c r="BV38" s="56">
        <v>0.26350000000000001</v>
      </c>
      <c r="BW38" s="42">
        <v>0.27700000000000002</v>
      </c>
      <c r="BX38" s="42">
        <v>0.23599999999999999</v>
      </c>
      <c r="BY38" s="85">
        <f>(0.349+0.352)/2</f>
        <v>0.35049999999999998</v>
      </c>
      <c r="BZ38" s="85">
        <f>(0.324+0.32)/2</f>
        <v>0.32200000000000001</v>
      </c>
      <c r="CA38" s="86">
        <v>0.435</v>
      </c>
    </row>
    <row r="39" spans="1:79">
      <c r="A39" s="21">
        <v>30</v>
      </c>
      <c r="B39" s="82">
        <v>254600.96687999999</v>
      </c>
      <c r="C39" s="82">
        <v>4505520.1160399998</v>
      </c>
      <c r="D39" s="19" t="s">
        <v>38</v>
      </c>
      <c r="E39" s="19" t="s">
        <v>38</v>
      </c>
      <c r="F39" s="19" t="s">
        <v>38</v>
      </c>
      <c r="G39" s="19" t="s">
        <v>38</v>
      </c>
      <c r="H39" s="19" t="s">
        <v>38</v>
      </c>
      <c r="I39" s="19" t="s">
        <v>38</v>
      </c>
      <c r="J39" s="19" t="s">
        <v>38</v>
      </c>
      <c r="K39" s="19" t="s">
        <v>38</v>
      </c>
      <c r="L39" s="19" t="s">
        <v>38</v>
      </c>
      <c r="M39" s="19" t="s">
        <v>38</v>
      </c>
      <c r="N39" s="23" t="s">
        <v>38</v>
      </c>
      <c r="O39" s="23" t="s">
        <v>38</v>
      </c>
      <c r="P39" s="23" t="s">
        <v>38</v>
      </c>
      <c r="Q39" s="23" t="s">
        <v>38</v>
      </c>
      <c r="R39" s="23" t="s">
        <v>38</v>
      </c>
      <c r="S39" s="23" t="s">
        <v>38</v>
      </c>
      <c r="T39" s="23" t="s">
        <v>38</v>
      </c>
      <c r="U39" s="23" t="s">
        <v>38</v>
      </c>
      <c r="V39" s="23" t="s">
        <v>38</v>
      </c>
      <c r="W39" s="23" t="s">
        <v>38</v>
      </c>
      <c r="X39" s="23" t="s">
        <v>38</v>
      </c>
      <c r="Y39" s="23" t="s">
        <v>38</v>
      </c>
      <c r="Z39" s="23" t="s">
        <v>38</v>
      </c>
      <c r="AA39" s="23" t="s">
        <v>38</v>
      </c>
      <c r="AB39" s="23" t="s">
        <v>38</v>
      </c>
      <c r="AC39" s="23" t="s">
        <v>38</v>
      </c>
      <c r="AD39" s="23" t="s">
        <v>38</v>
      </c>
      <c r="AE39" s="23" t="s">
        <v>38</v>
      </c>
      <c r="AF39" s="23" t="s">
        <v>38</v>
      </c>
      <c r="AG39" s="23" t="s">
        <v>38</v>
      </c>
      <c r="AH39" s="23" t="s">
        <v>38</v>
      </c>
      <c r="AI39" s="23" t="s">
        <v>38</v>
      </c>
      <c r="AJ39" s="23" t="s">
        <v>38</v>
      </c>
      <c r="AK39" s="23" t="s">
        <v>38</v>
      </c>
      <c r="AL39" s="23" t="s">
        <v>38</v>
      </c>
      <c r="AM39" s="23" t="s">
        <v>38</v>
      </c>
      <c r="AN39" s="23" t="s">
        <v>38</v>
      </c>
      <c r="AO39" s="23" t="s">
        <v>38</v>
      </c>
      <c r="AP39" s="23" t="s">
        <v>38</v>
      </c>
      <c r="AQ39" s="23" t="s">
        <v>38</v>
      </c>
      <c r="AR39" s="23" t="s">
        <v>38</v>
      </c>
      <c r="AS39" s="23" t="s">
        <v>38</v>
      </c>
      <c r="AT39" s="23" t="s">
        <v>38</v>
      </c>
      <c r="AU39" s="23" t="s">
        <v>38</v>
      </c>
      <c r="AV39" s="23" t="s">
        <v>38</v>
      </c>
      <c r="AW39" s="23" t="s">
        <v>38</v>
      </c>
      <c r="AX39" s="23" t="s">
        <v>38</v>
      </c>
      <c r="AY39" s="23" t="s">
        <v>38</v>
      </c>
      <c r="AZ39" s="23" t="s">
        <v>38</v>
      </c>
      <c r="BA39" s="23" t="s">
        <v>38</v>
      </c>
      <c r="BB39" s="23" t="s">
        <v>38</v>
      </c>
      <c r="BC39" s="23" t="s">
        <v>38</v>
      </c>
      <c r="BD39" s="23" t="s">
        <v>38</v>
      </c>
      <c r="BE39" s="23" t="s">
        <v>38</v>
      </c>
      <c r="BF39" s="23" t="s">
        <v>38</v>
      </c>
      <c r="BG39" s="23" t="s">
        <v>38</v>
      </c>
      <c r="BH39" s="23" t="s">
        <v>38</v>
      </c>
      <c r="BI39" s="23" t="s">
        <v>38</v>
      </c>
      <c r="BJ39" s="23" t="s">
        <v>38</v>
      </c>
      <c r="BK39" s="23" t="s">
        <v>38</v>
      </c>
      <c r="BL39" s="23" t="s">
        <v>38</v>
      </c>
      <c r="BM39" s="23" t="s">
        <v>38</v>
      </c>
      <c r="BN39" s="23" t="s">
        <v>38</v>
      </c>
      <c r="BO39" s="23" t="s">
        <v>38</v>
      </c>
      <c r="BP39" s="23" t="s">
        <v>38</v>
      </c>
      <c r="BQ39" s="23" t="s">
        <v>38</v>
      </c>
      <c r="BR39" s="23" t="s">
        <v>38</v>
      </c>
      <c r="BS39" s="23" t="s">
        <v>38</v>
      </c>
      <c r="BT39" s="23" t="s">
        <v>38</v>
      </c>
      <c r="BU39" s="23" t="s">
        <v>38</v>
      </c>
      <c r="BV39" s="23" t="s">
        <v>38</v>
      </c>
      <c r="BW39" s="23" t="s">
        <v>38</v>
      </c>
      <c r="BX39" s="23" t="s">
        <v>38</v>
      </c>
      <c r="BY39" s="69" t="s">
        <v>38</v>
      </c>
      <c r="BZ39" s="69" t="s">
        <v>38</v>
      </c>
      <c r="CA39" s="86" t="s">
        <v>38</v>
      </c>
    </row>
    <row r="40" spans="1:79">
      <c r="A40" s="21">
        <v>31</v>
      </c>
      <c r="B40" s="82">
        <v>254602.038967</v>
      </c>
      <c r="C40" s="82">
        <v>4505614.9486699998</v>
      </c>
      <c r="D40" s="19" t="s">
        <v>38</v>
      </c>
      <c r="E40" s="19">
        <v>0.1245</v>
      </c>
      <c r="F40" s="19">
        <v>0.122</v>
      </c>
      <c r="G40" s="19">
        <v>0.13</v>
      </c>
      <c r="H40" s="19">
        <v>0.11</v>
      </c>
      <c r="I40" s="19">
        <v>0.1095</v>
      </c>
      <c r="J40" s="19">
        <v>0.1085</v>
      </c>
      <c r="K40" s="19">
        <v>9.1499999999999998E-2</v>
      </c>
      <c r="L40" s="19">
        <v>0.11149999999999999</v>
      </c>
      <c r="M40" s="19">
        <v>8.1499999999999989E-2</v>
      </c>
      <c r="N40" s="16">
        <v>0.11650000000000001</v>
      </c>
      <c r="O40" s="16">
        <v>0.10350000000000001</v>
      </c>
      <c r="P40" s="16">
        <v>0.1085</v>
      </c>
      <c r="Q40" s="16">
        <v>0.111</v>
      </c>
      <c r="R40" s="16">
        <v>0.11549999999999999</v>
      </c>
      <c r="S40" s="16">
        <v>0.10150000000000001</v>
      </c>
      <c r="T40" s="51">
        <v>0.17599999999999999</v>
      </c>
      <c r="U40" s="51">
        <v>0.14699999999999999</v>
      </c>
      <c r="V40" s="51">
        <v>0.13900000000000001</v>
      </c>
      <c r="W40" s="51">
        <v>0.14000000000000001</v>
      </c>
      <c r="X40" s="51">
        <v>0.13800000000000001</v>
      </c>
      <c r="Y40" s="51">
        <v>0.12</v>
      </c>
      <c r="Z40" s="51">
        <v>0.13200000000000001</v>
      </c>
      <c r="AA40" s="51">
        <v>0.13300000000000001</v>
      </c>
      <c r="AB40" s="51">
        <v>0.13800000000000001</v>
      </c>
      <c r="AC40" s="51">
        <v>0.129</v>
      </c>
      <c r="AD40" s="51">
        <v>0.155</v>
      </c>
      <c r="AE40" s="51">
        <v>0.155</v>
      </c>
      <c r="AF40" s="51">
        <v>0.129</v>
      </c>
      <c r="AG40" s="51">
        <v>0.128</v>
      </c>
      <c r="AH40" s="51">
        <v>0.1</v>
      </c>
      <c r="AI40" s="51">
        <v>0.11700000000000001</v>
      </c>
      <c r="AJ40" s="51">
        <v>0.129</v>
      </c>
      <c r="AK40" s="51">
        <v>0.109</v>
      </c>
      <c r="AL40" s="51">
        <v>0.13600000000000001</v>
      </c>
      <c r="AM40" s="51">
        <v>0.16200000000000001</v>
      </c>
      <c r="AN40" s="51">
        <v>0.123</v>
      </c>
      <c r="AO40" s="51">
        <v>9.5000000000000001E-2</v>
      </c>
      <c r="AP40" s="51">
        <v>0.14199999999999999</v>
      </c>
      <c r="AQ40" s="51">
        <v>0.129</v>
      </c>
      <c r="AR40" s="51">
        <v>0.115</v>
      </c>
      <c r="AS40" s="51">
        <v>0.11600000000000001</v>
      </c>
      <c r="AT40" s="51">
        <v>0.11600000000000001</v>
      </c>
      <c r="AU40" s="51">
        <v>0.114</v>
      </c>
      <c r="AV40" s="51">
        <v>0.115</v>
      </c>
      <c r="AW40" s="51">
        <v>0.104</v>
      </c>
      <c r="AX40" s="51">
        <v>9.0999999999999998E-2</v>
      </c>
      <c r="AY40" s="51">
        <v>0.112</v>
      </c>
      <c r="AZ40" s="51">
        <v>0.109</v>
      </c>
      <c r="BA40" s="51">
        <v>5.7000000000000002E-2</v>
      </c>
      <c r="BB40" s="52">
        <v>6.1499999999999999E-2</v>
      </c>
      <c r="BC40" s="51">
        <v>0.1</v>
      </c>
      <c r="BD40" s="23" t="s">
        <v>38</v>
      </c>
      <c r="BE40" s="23" t="s">
        <v>38</v>
      </c>
      <c r="BF40" s="23" t="s">
        <v>38</v>
      </c>
      <c r="BG40" s="51">
        <v>0.14449999999999999</v>
      </c>
      <c r="BH40" s="38">
        <v>0.108</v>
      </c>
      <c r="BI40" s="38">
        <v>0.126</v>
      </c>
      <c r="BJ40" s="38">
        <v>0.1535</v>
      </c>
      <c r="BK40" s="38">
        <v>0.11699999999999999</v>
      </c>
      <c r="BL40" s="38">
        <v>0.11650000000000001</v>
      </c>
      <c r="BM40" s="38">
        <v>0.14199999999999999</v>
      </c>
      <c r="BN40" s="23" t="s">
        <v>38</v>
      </c>
      <c r="BO40" s="51">
        <v>0.11799999999999999</v>
      </c>
      <c r="BP40" s="38">
        <v>0.121</v>
      </c>
      <c r="BQ40" s="38">
        <v>0.11</v>
      </c>
      <c r="BR40" s="56">
        <v>0.112</v>
      </c>
      <c r="BS40" s="56">
        <v>0.1045</v>
      </c>
      <c r="BT40" s="56">
        <v>0.107</v>
      </c>
      <c r="BU40" s="42">
        <v>0.1125</v>
      </c>
      <c r="BV40" s="56">
        <v>0.10249999999999999</v>
      </c>
      <c r="BW40" s="42">
        <v>0.1285</v>
      </c>
      <c r="BX40" s="42">
        <v>0.13250000000000001</v>
      </c>
      <c r="BY40" s="69" t="s">
        <v>38</v>
      </c>
      <c r="BZ40" s="69" t="s">
        <v>38</v>
      </c>
      <c r="CA40" s="86" t="s">
        <v>38</v>
      </c>
    </row>
    <row r="41" spans="1:79">
      <c r="A41" s="21">
        <v>32</v>
      </c>
      <c r="B41" s="82">
        <v>254615.14761499999</v>
      </c>
      <c r="C41" s="82">
        <v>4505653.1930400003</v>
      </c>
      <c r="D41" s="19">
        <v>0.35599999999999998</v>
      </c>
      <c r="E41" s="19">
        <v>0.31950000000000001</v>
      </c>
      <c r="F41" s="19">
        <v>0.3155</v>
      </c>
      <c r="G41" s="19">
        <v>0.32900000000000001</v>
      </c>
      <c r="H41" s="19">
        <v>0.29899999999999999</v>
      </c>
      <c r="I41" s="19">
        <v>0.29749999999999999</v>
      </c>
      <c r="J41" s="19">
        <v>0.27050000000000002</v>
      </c>
      <c r="K41" s="19">
        <v>0.2485</v>
      </c>
      <c r="L41" s="19">
        <v>0.22500000000000001</v>
      </c>
      <c r="M41" s="19">
        <v>0.193</v>
      </c>
      <c r="N41" s="16">
        <v>0.214</v>
      </c>
      <c r="O41" s="16">
        <v>0.185</v>
      </c>
      <c r="P41" s="16">
        <v>0.17749999999999999</v>
      </c>
      <c r="Q41" s="16">
        <v>0.27400000000000002</v>
      </c>
      <c r="R41" s="16">
        <v>0.29149999999999998</v>
      </c>
      <c r="S41" s="16">
        <v>0.26900000000000002</v>
      </c>
      <c r="T41" s="51">
        <v>0.44800000000000001</v>
      </c>
      <c r="U41" s="51">
        <v>0.36299999999999999</v>
      </c>
      <c r="V41" s="51">
        <v>0.35599999999999998</v>
      </c>
      <c r="W41" s="51">
        <v>0.42799999999999999</v>
      </c>
      <c r="X41" s="51">
        <v>0.38400000000000001</v>
      </c>
      <c r="Y41" s="51">
        <v>0.39400000000000002</v>
      </c>
      <c r="Z41" s="51">
        <v>0.38</v>
      </c>
      <c r="AA41" s="51">
        <v>0.372</v>
      </c>
      <c r="AB41" s="51">
        <v>0.378</v>
      </c>
      <c r="AC41" s="51">
        <v>0.39</v>
      </c>
      <c r="AD41" s="51">
        <v>0.42599999999999999</v>
      </c>
      <c r="AE41" s="51">
        <v>0.317</v>
      </c>
      <c r="AF41" s="51">
        <v>0.27800000000000002</v>
      </c>
      <c r="AG41" s="51">
        <v>0.24199999999999999</v>
      </c>
      <c r="AH41" s="51">
        <v>0.193</v>
      </c>
      <c r="AI41" s="51">
        <v>0.23799999999999999</v>
      </c>
      <c r="AJ41" s="51">
        <v>0.22900000000000001</v>
      </c>
      <c r="AK41" s="51">
        <v>0.222</v>
      </c>
      <c r="AL41" s="51">
        <v>0.318</v>
      </c>
      <c r="AM41" s="51">
        <v>0.45</v>
      </c>
      <c r="AN41" s="51">
        <v>0.32300000000000001</v>
      </c>
      <c r="AO41" s="51">
        <v>0.23599999999999999</v>
      </c>
      <c r="AP41" s="51">
        <v>0.35399999999999998</v>
      </c>
      <c r="AQ41" s="51">
        <v>0.30399999999999999</v>
      </c>
      <c r="AR41" s="51">
        <v>0.28299999999999997</v>
      </c>
      <c r="AS41" s="51">
        <v>0.27900000000000003</v>
      </c>
      <c r="AT41" s="51">
        <v>0.27500000000000002</v>
      </c>
      <c r="AU41" s="51">
        <v>0.247</v>
      </c>
      <c r="AV41" s="51">
        <v>0.221</v>
      </c>
      <c r="AW41" s="51">
        <v>0.19</v>
      </c>
      <c r="AX41" s="51">
        <v>0.185</v>
      </c>
      <c r="AY41" s="51">
        <v>0.22</v>
      </c>
      <c r="AZ41" s="51">
        <v>0.109</v>
      </c>
      <c r="BA41" s="51">
        <v>0.26</v>
      </c>
      <c r="BB41" s="52">
        <v>0.19700000000000001</v>
      </c>
      <c r="BC41" s="51">
        <v>0.27250000000000002</v>
      </c>
      <c r="BD41" s="23" t="s">
        <v>38</v>
      </c>
      <c r="BE41" s="23" t="s">
        <v>38</v>
      </c>
      <c r="BF41" s="23" t="s">
        <v>38</v>
      </c>
      <c r="BG41" s="51">
        <v>0.34299999999999997</v>
      </c>
      <c r="BH41" s="38">
        <v>0.27900000000000003</v>
      </c>
      <c r="BI41" s="38">
        <v>0.32700000000000001</v>
      </c>
      <c r="BJ41" s="38">
        <v>0.34250000000000003</v>
      </c>
      <c r="BK41" s="38">
        <v>0.30299999999999999</v>
      </c>
      <c r="BL41" s="38">
        <v>0.316</v>
      </c>
      <c r="BM41" s="38">
        <v>0.34699999999999998</v>
      </c>
      <c r="BN41" s="23" t="s">
        <v>38</v>
      </c>
      <c r="BO41" s="51">
        <v>0.33350000000000002</v>
      </c>
      <c r="BP41" s="38">
        <v>0.34</v>
      </c>
      <c r="BQ41" s="38">
        <v>0.27150000000000002</v>
      </c>
      <c r="BR41" s="56">
        <v>0.27050000000000002</v>
      </c>
      <c r="BS41" s="56">
        <v>0.253</v>
      </c>
      <c r="BT41" s="56">
        <v>0.2465</v>
      </c>
      <c r="BU41" s="42">
        <v>0.23449999999999999</v>
      </c>
      <c r="BV41" s="56">
        <v>0.251</v>
      </c>
      <c r="BW41" s="42">
        <v>0.25800000000000001</v>
      </c>
      <c r="BX41" s="42">
        <v>0.27550000000000002</v>
      </c>
      <c r="BY41" s="85">
        <f>(0.341+0.347)/2</f>
        <v>0.34399999999999997</v>
      </c>
      <c r="BZ41" s="85">
        <v>0.317</v>
      </c>
      <c r="CA41" s="86">
        <v>0.443</v>
      </c>
    </row>
    <row r="42" spans="1:79">
      <c r="A42" s="21">
        <v>33</v>
      </c>
      <c r="B42" s="83">
        <v>254630.21045499999</v>
      </c>
      <c r="C42" s="83">
        <v>4505643.6264500003</v>
      </c>
      <c r="D42" s="19" t="s">
        <v>38</v>
      </c>
      <c r="E42" s="19" t="s">
        <v>38</v>
      </c>
      <c r="F42" s="19" t="s">
        <v>38</v>
      </c>
      <c r="G42" s="19" t="s">
        <v>38</v>
      </c>
      <c r="H42" s="19" t="s">
        <v>38</v>
      </c>
      <c r="I42" s="19" t="s">
        <v>38</v>
      </c>
      <c r="J42" s="19" t="s">
        <v>38</v>
      </c>
      <c r="K42" s="19" t="s">
        <v>38</v>
      </c>
      <c r="L42" s="19" t="s">
        <v>38</v>
      </c>
      <c r="M42" s="19" t="s">
        <v>38</v>
      </c>
      <c r="N42" s="23" t="s">
        <v>38</v>
      </c>
      <c r="O42" s="23" t="s">
        <v>38</v>
      </c>
      <c r="P42" s="23" t="s">
        <v>38</v>
      </c>
      <c r="Q42" s="23" t="s">
        <v>38</v>
      </c>
      <c r="R42" s="23" t="s">
        <v>38</v>
      </c>
      <c r="S42" s="23" t="s">
        <v>38</v>
      </c>
      <c r="T42" s="23" t="s">
        <v>38</v>
      </c>
      <c r="U42" s="23" t="s">
        <v>38</v>
      </c>
      <c r="V42" s="23" t="s">
        <v>38</v>
      </c>
      <c r="W42" s="23" t="s">
        <v>38</v>
      </c>
      <c r="X42" s="23" t="s">
        <v>38</v>
      </c>
      <c r="Y42" s="23" t="s">
        <v>38</v>
      </c>
      <c r="Z42" s="23" t="s">
        <v>38</v>
      </c>
      <c r="AA42" s="23" t="s">
        <v>38</v>
      </c>
      <c r="AB42" s="23" t="s">
        <v>38</v>
      </c>
      <c r="AC42" s="23" t="s">
        <v>38</v>
      </c>
      <c r="AD42" s="23" t="s">
        <v>38</v>
      </c>
      <c r="AE42" s="23" t="s">
        <v>38</v>
      </c>
      <c r="AF42" s="23" t="s">
        <v>38</v>
      </c>
      <c r="AG42" s="23" t="s">
        <v>38</v>
      </c>
      <c r="AH42" s="23" t="s">
        <v>38</v>
      </c>
      <c r="AI42" s="23" t="s">
        <v>38</v>
      </c>
      <c r="AJ42" s="23" t="s">
        <v>38</v>
      </c>
      <c r="AK42" s="23" t="s">
        <v>38</v>
      </c>
      <c r="AL42" s="23" t="s">
        <v>38</v>
      </c>
      <c r="AM42" s="23" t="s">
        <v>38</v>
      </c>
      <c r="AN42" s="23" t="s">
        <v>38</v>
      </c>
      <c r="AO42" s="23" t="s">
        <v>38</v>
      </c>
      <c r="AP42" s="23" t="s">
        <v>38</v>
      </c>
      <c r="AQ42" s="23" t="s">
        <v>38</v>
      </c>
      <c r="AR42" s="23" t="s">
        <v>38</v>
      </c>
      <c r="AS42" s="23" t="s">
        <v>38</v>
      </c>
      <c r="AT42" s="23" t="s">
        <v>38</v>
      </c>
      <c r="AU42" s="23" t="s">
        <v>38</v>
      </c>
      <c r="AV42" s="23" t="s">
        <v>38</v>
      </c>
      <c r="AW42" s="23" t="s">
        <v>38</v>
      </c>
      <c r="AX42" s="23" t="s">
        <v>38</v>
      </c>
      <c r="AY42" s="23" t="s">
        <v>38</v>
      </c>
      <c r="AZ42" s="23" t="s">
        <v>38</v>
      </c>
      <c r="BA42" s="23" t="s">
        <v>38</v>
      </c>
      <c r="BB42" s="23" t="s">
        <v>38</v>
      </c>
      <c r="BC42" s="23" t="s">
        <v>38</v>
      </c>
      <c r="BD42" s="23" t="s">
        <v>38</v>
      </c>
      <c r="BE42" s="23" t="s">
        <v>38</v>
      </c>
      <c r="BF42" s="23" t="s">
        <v>38</v>
      </c>
      <c r="BG42" s="23" t="s">
        <v>38</v>
      </c>
      <c r="BH42" s="23" t="s">
        <v>38</v>
      </c>
      <c r="BI42" s="23" t="s">
        <v>38</v>
      </c>
      <c r="BJ42" s="23" t="s">
        <v>38</v>
      </c>
      <c r="BK42" s="23" t="s">
        <v>38</v>
      </c>
      <c r="BL42" s="23" t="s">
        <v>38</v>
      </c>
      <c r="BM42" s="23" t="s">
        <v>38</v>
      </c>
      <c r="BN42" s="23" t="s">
        <v>38</v>
      </c>
      <c r="BO42" s="23" t="s">
        <v>38</v>
      </c>
      <c r="BP42" s="23" t="s">
        <v>38</v>
      </c>
      <c r="BQ42" s="23" t="s">
        <v>38</v>
      </c>
      <c r="BR42" s="23" t="s">
        <v>38</v>
      </c>
      <c r="BS42" s="23" t="s">
        <v>38</v>
      </c>
      <c r="BT42" s="23" t="s">
        <v>38</v>
      </c>
      <c r="BU42" s="23" t="s">
        <v>38</v>
      </c>
      <c r="BV42" s="23" t="s">
        <v>38</v>
      </c>
      <c r="BW42" s="23" t="s">
        <v>38</v>
      </c>
      <c r="BX42" s="23" t="s">
        <v>38</v>
      </c>
      <c r="BY42" s="69" t="s">
        <v>38</v>
      </c>
      <c r="BZ42" s="69" t="s">
        <v>38</v>
      </c>
      <c r="CA42" s="86" t="s">
        <v>38</v>
      </c>
    </row>
    <row r="43" spans="1:79">
      <c r="A43" s="21">
        <v>34</v>
      </c>
      <c r="B43" s="82">
        <v>254645.629514</v>
      </c>
      <c r="C43" s="82">
        <v>4505638.1997999996</v>
      </c>
      <c r="D43" s="19" t="s">
        <v>38</v>
      </c>
      <c r="E43" s="19">
        <v>0.127</v>
      </c>
      <c r="F43" s="19">
        <v>0.151</v>
      </c>
      <c r="G43" s="19">
        <v>0.16800000000000001</v>
      </c>
      <c r="H43" s="19">
        <v>0.1615</v>
      </c>
      <c r="I43" s="19">
        <v>0.14000000000000001</v>
      </c>
      <c r="J43" s="19">
        <v>0.108</v>
      </c>
      <c r="K43" s="19">
        <v>7.7499999999999999E-2</v>
      </c>
      <c r="L43" s="19">
        <v>9.4500000000000001E-2</v>
      </c>
      <c r="M43" s="19">
        <v>6.6000000000000003E-2</v>
      </c>
      <c r="N43" s="16">
        <v>7.9500000000000001E-2</v>
      </c>
      <c r="O43" s="16">
        <v>7.8E-2</v>
      </c>
      <c r="P43" s="16">
        <v>9.9500000000000005E-2</v>
      </c>
      <c r="Q43" s="16">
        <v>0.13200000000000001</v>
      </c>
      <c r="R43" s="16">
        <v>0.16200000000000001</v>
      </c>
      <c r="S43" s="16">
        <v>0.17699999999999999</v>
      </c>
      <c r="T43" s="51" t="s">
        <v>38</v>
      </c>
      <c r="U43" s="51">
        <v>0.17899999999999999</v>
      </c>
      <c r="V43" s="51">
        <v>0.19</v>
      </c>
      <c r="W43" s="51">
        <v>0.16600000000000001</v>
      </c>
      <c r="X43" s="51">
        <v>0.188</v>
      </c>
      <c r="Y43" s="51">
        <v>0.161</v>
      </c>
      <c r="Z43" s="51">
        <v>0.16300000000000001</v>
      </c>
      <c r="AA43" s="51">
        <v>0.17199999999999999</v>
      </c>
      <c r="AB43" s="51">
        <v>0.188</v>
      </c>
      <c r="AC43" s="51">
        <v>0.20300000000000001</v>
      </c>
      <c r="AD43" s="51">
        <v>0.161</v>
      </c>
      <c r="AE43" s="51">
        <v>0.15</v>
      </c>
      <c r="AF43" s="51">
        <v>0.151</v>
      </c>
      <c r="AG43" s="51">
        <v>0.129</v>
      </c>
      <c r="AH43" s="51">
        <v>0.111</v>
      </c>
      <c r="AI43" s="51">
        <v>8.5999999999999993E-2</v>
      </c>
      <c r="AJ43" s="51">
        <v>0.11600000000000001</v>
      </c>
      <c r="AK43" s="51">
        <v>0.108</v>
      </c>
      <c r="AL43" s="51">
        <v>0.48299999999999998</v>
      </c>
      <c r="AM43" s="51">
        <v>0.13500000000000001</v>
      </c>
      <c r="AN43" s="51">
        <v>0.151</v>
      </c>
      <c r="AO43" s="51">
        <v>0.107</v>
      </c>
      <c r="AP43" s="51">
        <v>0.11</v>
      </c>
      <c r="AQ43" s="51">
        <v>0.16600000000000001</v>
      </c>
      <c r="AR43" s="51">
        <v>0.126</v>
      </c>
      <c r="AS43" s="51">
        <v>0.14099999999999999</v>
      </c>
      <c r="AT43" s="51">
        <v>0.12</v>
      </c>
      <c r="AU43" s="51">
        <v>0.10199999999999999</v>
      </c>
      <c r="AV43" s="51">
        <v>9.8000000000000004E-2</v>
      </c>
      <c r="AW43" s="51">
        <v>0.10199999999999999</v>
      </c>
      <c r="AX43" s="51">
        <v>7.5999999999999998E-2</v>
      </c>
      <c r="AY43" s="51">
        <v>0.13400000000000001</v>
      </c>
      <c r="AZ43" s="51">
        <v>0.11899999999999999</v>
      </c>
      <c r="BA43" s="51">
        <v>0.125</v>
      </c>
      <c r="BB43" s="52">
        <v>8.1499999999999989E-2</v>
      </c>
      <c r="BC43" s="51">
        <v>0.115</v>
      </c>
      <c r="BD43" s="23" t="s">
        <v>38</v>
      </c>
      <c r="BE43" s="23" t="s">
        <v>38</v>
      </c>
      <c r="BF43" s="23" t="s">
        <v>38</v>
      </c>
      <c r="BG43" s="51">
        <v>0.17099999999999999</v>
      </c>
      <c r="BH43" s="38">
        <v>0.1535</v>
      </c>
      <c r="BI43" s="38">
        <v>0.17849999999999999</v>
      </c>
      <c r="BJ43" s="38">
        <v>0.19550000000000001</v>
      </c>
      <c r="BK43" s="38">
        <v>0.121</v>
      </c>
      <c r="BL43" s="38" t="s">
        <v>38</v>
      </c>
      <c r="BM43" s="38">
        <v>0.13100000000000001</v>
      </c>
      <c r="BN43" s="23" t="s">
        <v>38</v>
      </c>
      <c r="BO43" s="51">
        <v>0.14050000000000001</v>
      </c>
      <c r="BP43" s="38">
        <v>0.13550000000000001</v>
      </c>
      <c r="BQ43" s="38">
        <v>0.126</v>
      </c>
      <c r="BR43" s="56">
        <v>0.13700000000000001</v>
      </c>
      <c r="BS43" s="56">
        <v>0.127</v>
      </c>
      <c r="BT43" s="56">
        <v>0.129</v>
      </c>
      <c r="BU43" s="42">
        <v>0.1095</v>
      </c>
      <c r="BV43" s="56">
        <v>0.1215</v>
      </c>
      <c r="BW43" s="42">
        <v>0.13100000000000001</v>
      </c>
      <c r="BX43" s="42">
        <v>0.128</v>
      </c>
      <c r="BY43" s="85">
        <f>(0.21+0.24)/2</f>
        <v>0.22499999999999998</v>
      </c>
      <c r="BZ43" s="85">
        <f>(0.227+0.229)/2</f>
        <v>0.22800000000000001</v>
      </c>
      <c r="CA43" s="86">
        <v>0.26700000000000002</v>
      </c>
    </row>
    <row r="44" spans="1:79">
      <c r="A44" s="21">
        <v>35</v>
      </c>
      <c r="B44" s="83">
        <v>254670.124698</v>
      </c>
      <c r="C44" s="83">
        <v>4505665.0644100001</v>
      </c>
      <c r="D44" s="19" t="s">
        <v>38</v>
      </c>
      <c r="E44" s="19" t="s">
        <v>38</v>
      </c>
      <c r="F44" s="19" t="s">
        <v>38</v>
      </c>
      <c r="G44" s="19" t="s">
        <v>38</v>
      </c>
      <c r="H44" s="19" t="s">
        <v>38</v>
      </c>
      <c r="I44" s="19" t="s">
        <v>38</v>
      </c>
      <c r="J44" s="19" t="s">
        <v>38</v>
      </c>
      <c r="K44" s="19" t="s">
        <v>38</v>
      </c>
      <c r="L44" s="19" t="s">
        <v>38</v>
      </c>
      <c r="M44" s="19" t="s">
        <v>38</v>
      </c>
      <c r="N44" s="23" t="s">
        <v>38</v>
      </c>
      <c r="O44" s="23" t="s">
        <v>38</v>
      </c>
      <c r="P44" s="23" t="s">
        <v>38</v>
      </c>
      <c r="Q44" s="23" t="s">
        <v>38</v>
      </c>
      <c r="R44" s="23" t="s">
        <v>38</v>
      </c>
      <c r="S44" s="23" t="s">
        <v>38</v>
      </c>
      <c r="T44" s="23" t="s">
        <v>38</v>
      </c>
      <c r="U44" s="23" t="s">
        <v>38</v>
      </c>
      <c r="V44" s="23" t="s">
        <v>38</v>
      </c>
      <c r="W44" s="23" t="s">
        <v>38</v>
      </c>
      <c r="X44" s="23" t="s">
        <v>38</v>
      </c>
      <c r="Y44" s="23" t="s">
        <v>38</v>
      </c>
      <c r="Z44" s="23" t="s">
        <v>38</v>
      </c>
      <c r="AA44" s="23" t="s">
        <v>38</v>
      </c>
      <c r="AB44" s="23" t="s">
        <v>38</v>
      </c>
      <c r="AC44" s="23" t="s">
        <v>38</v>
      </c>
      <c r="AD44" s="23" t="s">
        <v>38</v>
      </c>
      <c r="AE44" s="23" t="s">
        <v>38</v>
      </c>
      <c r="AF44" s="23" t="s">
        <v>38</v>
      </c>
      <c r="AG44" s="23" t="s">
        <v>38</v>
      </c>
      <c r="AH44" s="23" t="s">
        <v>38</v>
      </c>
      <c r="AI44" s="23" t="s">
        <v>38</v>
      </c>
      <c r="AJ44" s="23" t="s">
        <v>38</v>
      </c>
      <c r="AK44" s="23" t="s">
        <v>38</v>
      </c>
      <c r="AL44" s="23" t="s">
        <v>38</v>
      </c>
      <c r="AM44" s="23" t="s">
        <v>38</v>
      </c>
      <c r="AN44" s="23" t="s">
        <v>38</v>
      </c>
      <c r="AO44" s="23" t="s">
        <v>38</v>
      </c>
      <c r="AP44" s="23" t="s">
        <v>38</v>
      </c>
      <c r="AQ44" s="23" t="s">
        <v>38</v>
      </c>
      <c r="AR44" s="23" t="s">
        <v>38</v>
      </c>
      <c r="AS44" s="23" t="s">
        <v>38</v>
      </c>
      <c r="AT44" s="23" t="s">
        <v>38</v>
      </c>
      <c r="AU44" s="23" t="s">
        <v>38</v>
      </c>
      <c r="AV44" s="23" t="s">
        <v>38</v>
      </c>
      <c r="AW44" s="23" t="s">
        <v>38</v>
      </c>
      <c r="AX44" s="23" t="s">
        <v>38</v>
      </c>
      <c r="AY44" s="23" t="s">
        <v>38</v>
      </c>
      <c r="AZ44" s="23" t="s">
        <v>38</v>
      </c>
      <c r="BA44" s="23" t="s">
        <v>38</v>
      </c>
      <c r="BB44" s="23" t="s">
        <v>38</v>
      </c>
      <c r="BC44" s="23" t="s">
        <v>38</v>
      </c>
      <c r="BD44" s="23" t="s">
        <v>38</v>
      </c>
      <c r="BE44" s="23" t="s">
        <v>38</v>
      </c>
      <c r="BF44" s="23" t="s">
        <v>38</v>
      </c>
      <c r="BG44" s="23" t="s">
        <v>38</v>
      </c>
      <c r="BH44" s="23" t="s">
        <v>38</v>
      </c>
      <c r="BI44" s="23" t="s">
        <v>38</v>
      </c>
      <c r="BJ44" s="23" t="s">
        <v>38</v>
      </c>
      <c r="BK44" s="23" t="s">
        <v>38</v>
      </c>
      <c r="BL44" s="23" t="s">
        <v>38</v>
      </c>
      <c r="BM44" s="23" t="s">
        <v>38</v>
      </c>
      <c r="BN44" s="23" t="s">
        <v>38</v>
      </c>
      <c r="BO44" s="23" t="s">
        <v>38</v>
      </c>
      <c r="BP44" s="23" t="s">
        <v>38</v>
      </c>
      <c r="BQ44" s="23" t="s">
        <v>38</v>
      </c>
      <c r="BR44" s="23" t="s">
        <v>38</v>
      </c>
      <c r="BS44" s="23" t="s">
        <v>38</v>
      </c>
      <c r="BT44" s="23" t="s">
        <v>38</v>
      </c>
      <c r="BU44" s="23" t="s">
        <v>38</v>
      </c>
      <c r="BV44" s="23" t="s">
        <v>38</v>
      </c>
      <c r="BW44" s="23" t="s">
        <v>38</v>
      </c>
      <c r="BX44" s="23" t="s">
        <v>38</v>
      </c>
      <c r="BY44" s="69" t="s">
        <v>38</v>
      </c>
      <c r="BZ44" s="69" t="s">
        <v>38</v>
      </c>
      <c r="CA44" s="86" t="s">
        <v>38</v>
      </c>
    </row>
    <row r="45" spans="1:79">
      <c r="A45" s="21">
        <v>36</v>
      </c>
      <c r="B45" s="82">
        <v>254694.327835</v>
      </c>
      <c r="C45" s="82">
        <v>4505677.1803099997</v>
      </c>
      <c r="D45" s="19" t="s">
        <v>38</v>
      </c>
      <c r="E45" s="19" t="s">
        <v>38</v>
      </c>
      <c r="F45" s="19" t="s">
        <v>38</v>
      </c>
      <c r="G45" s="19" t="s">
        <v>38</v>
      </c>
      <c r="H45" s="19" t="s">
        <v>38</v>
      </c>
      <c r="I45" s="19" t="s">
        <v>38</v>
      </c>
      <c r="J45" s="19" t="s">
        <v>38</v>
      </c>
      <c r="K45" s="19" t="s">
        <v>38</v>
      </c>
      <c r="L45" s="19" t="s">
        <v>38</v>
      </c>
      <c r="M45" s="19" t="s">
        <v>38</v>
      </c>
      <c r="N45" s="23" t="s">
        <v>38</v>
      </c>
      <c r="O45" s="23" t="s">
        <v>38</v>
      </c>
      <c r="P45" s="23" t="s">
        <v>38</v>
      </c>
      <c r="Q45" s="23" t="s">
        <v>38</v>
      </c>
      <c r="R45" s="23" t="s">
        <v>38</v>
      </c>
      <c r="S45" s="23" t="s">
        <v>38</v>
      </c>
      <c r="T45" s="23" t="s">
        <v>38</v>
      </c>
      <c r="U45" s="23" t="s">
        <v>38</v>
      </c>
      <c r="V45" s="23" t="s">
        <v>38</v>
      </c>
      <c r="W45" s="23" t="s">
        <v>38</v>
      </c>
      <c r="X45" s="23" t="s">
        <v>38</v>
      </c>
      <c r="Y45" s="23" t="s">
        <v>38</v>
      </c>
      <c r="Z45" s="23" t="s">
        <v>38</v>
      </c>
      <c r="AA45" s="23" t="s">
        <v>38</v>
      </c>
      <c r="AB45" s="23" t="s">
        <v>38</v>
      </c>
      <c r="AC45" s="23" t="s">
        <v>38</v>
      </c>
      <c r="AD45" s="23" t="s">
        <v>38</v>
      </c>
      <c r="AE45" s="23" t="s">
        <v>38</v>
      </c>
      <c r="AF45" s="23" t="s">
        <v>38</v>
      </c>
      <c r="AG45" s="23" t="s">
        <v>38</v>
      </c>
      <c r="AH45" s="23" t="s">
        <v>38</v>
      </c>
      <c r="AI45" s="23" t="s">
        <v>38</v>
      </c>
      <c r="AJ45" s="23" t="s">
        <v>38</v>
      </c>
      <c r="AK45" s="23" t="s">
        <v>38</v>
      </c>
      <c r="AL45" s="23" t="s">
        <v>38</v>
      </c>
      <c r="AM45" s="23" t="s">
        <v>38</v>
      </c>
      <c r="AN45" s="23" t="s">
        <v>38</v>
      </c>
      <c r="AO45" s="23" t="s">
        <v>38</v>
      </c>
      <c r="AP45" s="23" t="s">
        <v>38</v>
      </c>
      <c r="AQ45" s="23" t="s">
        <v>38</v>
      </c>
      <c r="AR45" s="23" t="s">
        <v>38</v>
      </c>
      <c r="AS45" s="23" t="s">
        <v>38</v>
      </c>
      <c r="AT45" s="23" t="s">
        <v>38</v>
      </c>
      <c r="AU45" s="23" t="s">
        <v>38</v>
      </c>
      <c r="AV45" s="23" t="s">
        <v>38</v>
      </c>
      <c r="AW45" s="23" t="s">
        <v>38</v>
      </c>
      <c r="AX45" s="23" t="s">
        <v>38</v>
      </c>
      <c r="AY45" s="23" t="s">
        <v>38</v>
      </c>
      <c r="AZ45" s="23" t="s">
        <v>38</v>
      </c>
      <c r="BA45" s="23" t="s">
        <v>38</v>
      </c>
      <c r="BB45" s="23" t="s">
        <v>38</v>
      </c>
      <c r="BC45" s="23" t="s">
        <v>38</v>
      </c>
      <c r="BD45" s="23" t="s">
        <v>38</v>
      </c>
      <c r="BE45" s="23" t="s">
        <v>38</v>
      </c>
      <c r="BF45" s="23" t="s">
        <v>38</v>
      </c>
      <c r="BG45" s="23" t="s">
        <v>38</v>
      </c>
      <c r="BH45" s="23" t="s">
        <v>38</v>
      </c>
      <c r="BI45" s="23" t="s">
        <v>38</v>
      </c>
      <c r="BJ45" s="23" t="s">
        <v>38</v>
      </c>
      <c r="BK45" s="23" t="s">
        <v>38</v>
      </c>
      <c r="BL45" s="23" t="s">
        <v>38</v>
      </c>
      <c r="BM45" s="23" t="s">
        <v>38</v>
      </c>
      <c r="BN45" s="23" t="s">
        <v>38</v>
      </c>
      <c r="BO45" s="23" t="s">
        <v>38</v>
      </c>
      <c r="BP45" s="23" t="s">
        <v>38</v>
      </c>
      <c r="BQ45" s="23" t="s">
        <v>38</v>
      </c>
      <c r="BR45" s="23" t="s">
        <v>38</v>
      </c>
      <c r="BS45" s="23" t="s">
        <v>38</v>
      </c>
      <c r="BT45" s="23" t="s">
        <v>38</v>
      </c>
      <c r="BU45" s="23" t="s">
        <v>38</v>
      </c>
      <c r="BV45" s="23" t="s">
        <v>38</v>
      </c>
      <c r="BW45" s="23" t="s">
        <v>38</v>
      </c>
      <c r="BX45" s="23" t="s">
        <v>38</v>
      </c>
      <c r="BY45" s="69" t="s">
        <v>38</v>
      </c>
      <c r="BZ45" s="69" t="s">
        <v>38</v>
      </c>
      <c r="CA45" s="86" t="s">
        <v>38</v>
      </c>
    </row>
    <row r="46" spans="1:79">
      <c r="A46" s="21">
        <v>37</v>
      </c>
      <c r="B46" s="82">
        <v>254278.222178</v>
      </c>
      <c r="C46" s="82">
        <v>4505598.09038</v>
      </c>
      <c r="D46" s="19" t="s">
        <v>38</v>
      </c>
      <c r="E46" s="19" t="s">
        <v>38</v>
      </c>
      <c r="F46" s="19" t="s">
        <v>38</v>
      </c>
      <c r="G46" s="19" t="s">
        <v>38</v>
      </c>
      <c r="H46" s="19" t="s">
        <v>38</v>
      </c>
      <c r="I46" s="19" t="s">
        <v>38</v>
      </c>
      <c r="J46" s="19" t="s">
        <v>38</v>
      </c>
      <c r="K46" s="19" t="s">
        <v>38</v>
      </c>
      <c r="L46" s="19" t="s">
        <v>38</v>
      </c>
      <c r="M46" s="19" t="s">
        <v>38</v>
      </c>
      <c r="N46" s="23" t="s">
        <v>38</v>
      </c>
      <c r="O46" s="23" t="s">
        <v>38</v>
      </c>
      <c r="P46" s="23" t="s">
        <v>38</v>
      </c>
      <c r="Q46" s="23" t="s">
        <v>38</v>
      </c>
      <c r="R46" s="23" t="s">
        <v>38</v>
      </c>
      <c r="S46" s="23" t="s">
        <v>38</v>
      </c>
      <c r="T46" s="23" t="s">
        <v>38</v>
      </c>
      <c r="U46" s="23" t="s">
        <v>38</v>
      </c>
      <c r="V46" s="23" t="s">
        <v>38</v>
      </c>
      <c r="W46" s="23" t="s">
        <v>38</v>
      </c>
      <c r="X46" s="23" t="s">
        <v>38</v>
      </c>
      <c r="Y46" s="23" t="s">
        <v>38</v>
      </c>
      <c r="Z46" s="23" t="s">
        <v>38</v>
      </c>
      <c r="AA46" s="23" t="s">
        <v>38</v>
      </c>
      <c r="AB46" s="23" t="s">
        <v>38</v>
      </c>
      <c r="AC46" s="23" t="s">
        <v>38</v>
      </c>
      <c r="AD46" s="23" t="s">
        <v>38</v>
      </c>
      <c r="AE46" s="23" t="s">
        <v>38</v>
      </c>
      <c r="AF46" s="23" t="s">
        <v>38</v>
      </c>
      <c r="AG46" s="23" t="s">
        <v>38</v>
      </c>
      <c r="AH46" s="23" t="s">
        <v>38</v>
      </c>
      <c r="AI46" s="23" t="s">
        <v>38</v>
      </c>
      <c r="AJ46" s="23" t="s">
        <v>38</v>
      </c>
      <c r="AK46" s="23" t="s">
        <v>38</v>
      </c>
      <c r="AL46" s="23" t="s">
        <v>38</v>
      </c>
      <c r="AM46" s="23" t="s">
        <v>38</v>
      </c>
      <c r="AN46" s="23" t="s">
        <v>38</v>
      </c>
      <c r="AO46" s="23" t="s">
        <v>38</v>
      </c>
      <c r="AP46" s="23" t="s">
        <v>38</v>
      </c>
      <c r="AQ46" s="23" t="s">
        <v>38</v>
      </c>
      <c r="AR46" s="23" t="s">
        <v>38</v>
      </c>
      <c r="AS46" s="23" t="s">
        <v>38</v>
      </c>
      <c r="AT46" s="23" t="s">
        <v>38</v>
      </c>
      <c r="AU46" s="23" t="s">
        <v>38</v>
      </c>
      <c r="AV46" s="23" t="s">
        <v>38</v>
      </c>
      <c r="AW46" s="23" t="s">
        <v>38</v>
      </c>
      <c r="AX46" s="23" t="s">
        <v>38</v>
      </c>
      <c r="AY46" s="23" t="s">
        <v>38</v>
      </c>
      <c r="AZ46" s="23" t="s">
        <v>38</v>
      </c>
      <c r="BA46" s="23" t="s">
        <v>38</v>
      </c>
      <c r="BB46" s="23" t="s">
        <v>38</v>
      </c>
      <c r="BC46" s="23" t="s">
        <v>38</v>
      </c>
      <c r="BD46" s="23" t="s">
        <v>38</v>
      </c>
      <c r="BE46" s="23" t="s">
        <v>38</v>
      </c>
      <c r="BF46" s="23" t="s">
        <v>38</v>
      </c>
      <c r="BG46" s="23" t="s">
        <v>38</v>
      </c>
      <c r="BH46" s="23" t="s">
        <v>38</v>
      </c>
      <c r="BI46" s="23" t="s">
        <v>38</v>
      </c>
      <c r="BJ46" s="23" t="s">
        <v>38</v>
      </c>
      <c r="BK46" s="23" t="s">
        <v>38</v>
      </c>
      <c r="BL46" s="23" t="s">
        <v>38</v>
      </c>
      <c r="BM46" s="23" t="s">
        <v>38</v>
      </c>
      <c r="BN46" s="23" t="s">
        <v>38</v>
      </c>
      <c r="BO46" s="23" t="s">
        <v>38</v>
      </c>
      <c r="BP46" s="23" t="s">
        <v>38</v>
      </c>
      <c r="BQ46" s="23" t="s">
        <v>38</v>
      </c>
      <c r="BR46" s="23" t="s">
        <v>38</v>
      </c>
      <c r="BS46" s="23" t="s">
        <v>38</v>
      </c>
      <c r="BT46" s="23" t="s">
        <v>38</v>
      </c>
      <c r="BU46" s="23" t="s">
        <v>38</v>
      </c>
      <c r="BV46" s="23" t="s">
        <v>38</v>
      </c>
      <c r="BW46" s="23" t="s">
        <v>38</v>
      </c>
      <c r="BX46" s="23" t="s">
        <v>38</v>
      </c>
      <c r="BY46" s="69" t="s">
        <v>38</v>
      </c>
      <c r="BZ46" s="69" t="s">
        <v>38</v>
      </c>
      <c r="CA46" s="86" t="s">
        <v>38</v>
      </c>
    </row>
    <row r="47" spans="1:79">
      <c r="A47" s="21">
        <v>38</v>
      </c>
      <c r="B47" s="82">
        <v>254283.86705500001</v>
      </c>
      <c r="C47" s="82">
        <v>4505606.6247800002</v>
      </c>
      <c r="D47" s="19" t="s">
        <v>38</v>
      </c>
      <c r="E47" s="19">
        <v>0.32700000000000001</v>
      </c>
      <c r="F47" s="19">
        <v>0.33500000000000002</v>
      </c>
      <c r="G47" s="19">
        <v>0.3735</v>
      </c>
      <c r="H47" s="19">
        <v>0.34599999999999997</v>
      </c>
      <c r="I47" s="19">
        <v>0.32100000000000001</v>
      </c>
      <c r="J47" s="19">
        <v>0.28299999999999997</v>
      </c>
      <c r="K47" s="19">
        <v>0.214</v>
      </c>
      <c r="L47" s="19">
        <v>0.29749999999999999</v>
      </c>
      <c r="M47" s="19">
        <v>0.2465</v>
      </c>
      <c r="N47" s="16">
        <v>0.27900000000000003</v>
      </c>
      <c r="O47" s="16">
        <v>0.2495</v>
      </c>
      <c r="P47" s="16">
        <v>0.248</v>
      </c>
      <c r="Q47" s="16">
        <v>0.29799999999999999</v>
      </c>
      <c r="R47" s="16">
        <v>0.33200000000000002</v>
      </c>
      <c r="S47" s="16">
        <v>0.312</v>
      </c>
      <c r="T47" s="51">
        <v>0.51900000000000002</v>
      </c>
      <c r="U47" s="51">
        <v>0.52300000000000002</v>
      </c>
      <c r="V47" s="51">
        <v>0.58499999999999996</v>
      </c>
      <c r="W47" s="51" t="s">
        <v>38</v>
      </c>
      <c r="X47" s="51">
        <v>0.66900000000000004</v>
      </c>
      <c r="Y47" s="51">
        <v>0.629</v>
      </c>
      <c r="Z47" s="51">
        <v>0.70799999999999996</v>
      </c>
      <c r="AA47" s="51">
        <v>0.67500000000000004</v>
      </c>
      <c r="AB47" s="51">
        <v>0.69899999999999995</v>
      </c>
      <c r="AC47" s="51" t="s">
        <v>38</v>
      </c>
      <c r="AD47" s="51">
        <v>0.45</v>
      </c>
      <c r="AE47" s="51">
        <v>0.40100000000000002</v>
      </c>
      <c r="AF47" s="51">
        <v>0.33200000000000002</v>
      </c>
      <c r="AG47" s="51">
        <v>0.36499999999999999</v>
      </c>
      <c r="AH47" s="51">
        <v>0.28100000000000003</v>
      </c>
      <c r="AI47" s="51">
        <v>0.33400000000000002</v>
      </c>
      <c r="AJ47" s="51">
        <v>0.21199999999999999</v>
      </c>
      <c r="AK47" s="51">
        <v>0.27400000000000002</v>
      </c>
      <c r="AL47" s="51" t="s">
        <v>38</v>
      </c>
      <c r="AM47" s="51">
        <v>0.53800000000000003</v>
      </c>
      <c r="AN47" s="51">
        <v>0.35199999999999998</v>
      </c>
      <c r="AO47" s="51">
        <v>0.3</v>
      </c>
      <c r="AP47" s="51">
        <v>0.33800000000000002</v>
      </c>
      <c r="AQ47" s="51">
        <v>0.36399999999999999</v>
      </c>
      <c r="AR47" s="51">
        <v>0.35499999999999998</v>
      </c>
      <c r="AS47" s="51">
        <v>0.34200000000000003</v>
      </c>
      <c r="AT47" s="51">
        <v>0.33200000000000002</v>
      </c>
      <c r="AU47" s="51">
        <v>0.32</v>
      </c>
      <c r="AV47" s="51">
        <v>0.29299999999999998</v>
      </c>
      <c r="AW47" s="51">
        <v>0.255</v>
      </c>
      <c r="AX47" s="51">
        <v>0.26200000000000001</v>
      </c>
      <c r="AY47" s="51">
        <v>0.377</v>
      </c>
      <c r="AZ47" s="51">
        <v>0.33700000000000002</v>
      </c>
      <c r="BA47" s="51">
        <v>0.33500000000000002</v>
      </c>
      <c r="BB47" s="52">
        <v>0.26550000000000001</v>
      </c>
      <c r="BC47" s="51">
        <v>0.3175</v>
      </c>
      <c r="BD47" s="23" t="s">
        <v>38</v>
      </c>
      <c r="BE47" s="23" t="s">
        <v>38</v>
      </c>
      <c r="BF47" s="23" t="s">
        <v>38</v>
      </c>
      <c r="BG47" s="51">
        <v>0.42599999999999999</v>
      </c>
      <c r="BH47" s="38">
        <v>0.35349999999999998</v>
      </c>
      <c r="BI47" s="38">
        <v>0.35199999999999998</v>
      </c>
      <c r="BJ47" s="38">
        <v>0.38800000000000001</v>
      </c>
      <c r="BK47" s="38">
        <v>0.36299999999999999</v>
      </c>
      <c r="BL47" s="38">
        <v>0.33400000000000002</v>
      </c>
      <c r="BM47" s="38">
        <v>0.36849999999999999</v>
      </c>
      <c r="BN47" s="51">
        <v>0.379</v>
      </c>
      <c r="BO47" s="51">
        <v>0.3705</v>
      </c>
      <c r="BP47" s="38">
        <v>0.34849999999999998</v>
      </c>
      <c r="BQ47" s="38">
        <v>0.28300000000000003</v>
      </c>
      <c r="BR47" s="56">
        <v>0.33900000000000002</v>
      </c>
      <c r="BS47" s="56">
        <v>0.29399999999999998</v>
      </c>
      <c r="BT47" s="56">
        <v>0.27450000000000002</v>
      </c>
      <c r="BU47" s="42">
        <v>0.33700000000000002</v>
      </c>
      <c r="BV47" s="56">
        <v>0.34350000000000003</v>
      </c>
      <c r="BW47" s="42">
        <v>0.34099999999999997</v>
      </c>
      <c r="BX47" s="42">
        <v>0.3095</v>
      </c>
      <c r="BY47" s="85">
        <f>(0.357+0.352)/2</f>
        <v>0.35449999999999998</v>
      </c>
      <c r="BZ47" s="85">
        <f>(0.508+0.485)/2</f>
        <v>0.4965</v>
      </c>
      <c r="CA47" s="86">
        <v>0.35549999999999998</v>
      </c>
    </row>
    <row r="48" spans="1:79">
      <c r="A48" s="21">
        <v>39</v>
      </c>
      <c r="B48" s="83">
        <v>254326.89087</v>
      </c>
      <c r="C48" s="83">
        <v>4505589.7420199998</v>
      </c>
      <c r="D48" s="19" t="s">
        <v>38</v>
      </c>
      <c r="E48" s="19" t="s">
        <v>38</v>
      </c>
      <c r="F48" s="19" t="s">
        <v>38</v>
      </c>
      <c r="G48" s="19" t="s">
        <v>38</v>
      </c>
      <c r="H48" s="19" t="s">
        <v>38</v>
      </c>
      <c r="I48" s="19" t="s">
        <v>38</v>
      </c>
      <c r="J48" s="19" t="s">
        <v>38</v>
      </c>
      <c r="K48" s="19" t="s">
        <v>38</v>
      </c>
      <c r="L48" s="19" t="s">
        <v>38</v>
      </c>
      <c r="M48" s="19" t="s">
        <v>38</v>
      </c>
      <c r="N48" s="23" t="s">
        <v>38</v>
      </c>
      <c r="O48" s="23" t="s">
        <v>38</v>
      </c>
      <c r="P48" s="23" t="s">
        <v>38</v>
      </c>
      <c r="Q48" s="23" t="s">
        <v>38</v>
      </c>
      <c r="R48" s="23" t="s">
        <v>38</v>
      </c>
      <c r="S48" s="23" t="s">
        <v>38</v>
      </c>
      <c r="T48" s="23" t="s">
        <v>38</v>
      </c>
      <c r="U48" s="23" t="s">
        <v>38</v>
      </c>
      <c r="V48" s="23" t="s">
        <v>38</v>
      </c>
      <c r="W48" s="23" t="s">
        <v>38</v>
      </c>
      <c r="X48" s="23" t="s">
        <v>38</v>
      </c>
      <c r="Y48" s="23" t="s">
        <v>38</v>
      </c>
      <c r="Z48" s="23" t="s">
        <v>38</v>
      </c>
      <c r="AA48" s="23" t="s">
        <v>38</v>
      </c>
      <c r="AB48" s="23" t="s">
        <v>38</v>
      </c>
      <c r="AC48" s="23" t="s">
        <v>38</v>
      </c>
      <c r="AD48" s="23" t="s">
        <v>38</v>
      </c>
      <c r="AE48" s="23" t="s">
        <v>38</v>
      </c>
      <c r="AF48" s="23" t="s">
        <v>38</v>
      </c>
      <c r="AG48" s="23" t="s">
        <v>38</v>
      </c>
      <c r="AH48" s="23" t="s">
        <v>38</v>
      </c>
      <c r="AI48" s="23" t="s">
        <v>38</v>
      </c>
      <c r="AJ48" s="23" t="s">
        <v>38</v>
      </c>
      <c r="AK48" s="23" t="s">
        <v>38</v>
      </c>
      <c r="AL48" s="23" t="s">
        <v>38</v>
      </c>
      <c r="AM48" s="23" t="s">
        <v>38</v>
      </c>
      <c r="AN48" s="23" t="s">
        <v>38</v>
      </c>
      <c r="AO48" s="23" t="s">
        <v>38</v>
      </c>
      <c r="AP48" s="23" t="s">
        <v>38</v>
      </c>
      <c r="AQ48" s="23" t="s">
        <v>38</v>
      </c>
      <c r="AR48" s="23" t="s">
        <v>38</v>
      </c>
      <c r="AS48" s="23" t="s">
        <v>38</v>
      </c>
      <c r="AT48" s="23" t="s">
        <v>38</v>
      </c>
      <c r="AU48" s="23" t="s">
        <v>38</v>
      </c>
      <c r="AV48" s="23" t="s">
        <v>38</v>
      </c>
      <c r="AW48" s="23" t="s">
        <v>38</v>
      </c>
      <c r="AX48" s="23" t="s">
        <v>38</v>
      </c>
      <c r="AY48" s="23" t="s">
        <v>38</v>
      </c>
      <c r="AZ48" s="23" t="s">
        <v>38</v>
      </c>
      <c r="BA48" s="23" t="s">
        <v>38</v>
      </c>
      <c r="BB48" s="23" t="s">
        <v>38</v>
      </c>
      <c r="BC48" s="23" t="s">
        <v>38</v>
      </c>
      <c r="BD48" s="23" t="s">
        <v>38</v>
      </c>
      <c r="BE48" s="23" t="s">
        <v>38</v>
      </c>
      <c r="BF48" s="23" t="s">
        <v>38</v>
      </c>
      <c r="BG48" s="23" t="s">
        <v>38</v>
      </c>
      <c r="BH48" s="23" t="s">
        <v>38</v>
      </c>
      <c r="BI48" s="23" t="s">
        <v>38</v>
      </c>
      <c r="BJ48" s="23" t="s">
        <v>38</v>
      </c>
      <c r="BK48" s="23" t="s">
        <v>38</v>
      </c>
      <c r="BL48" s="23" t="s">
        <v>38</v>
      </c>
      <c r="BM48" s="23" t="s">
        <v>38</v>
      </c>
      <c r="BN48" s="23" t="s">
        <v>38</v>
      </c>
      <c r="BO48" s="23" t="s">
        <v>38</v>
      </c>
      <c r="BP48" s="23" t="s">
        <v>38</v>
      </c>
      <c r="BQ48" s="23" t="s">
        <v>38</v>
      </c>
      <c r="BR48" s="23" t="s">
        <v>38</v>
      </c>
      <c r="BS48" s="23" t="s">
        <v>38</v>
      </c>
      <c r="BT48" s="23" t="s">
        <v>38</v>
      </c>
      <c r="BU48" s="23" t="s">
        <v>38</v>
      </c>
      <c r="BV48" s="23" t="s">
        <v>38</v>
      </c>
      <c r="BW48" s="23" t="s">
        <v>38</v>
      </c>
      <c r="BX48" s="23" t="s">
        <v>38</v>
      </c>
      <c r="BY48" s="69" t="s">
        <v>38</v>
      </c>
      <c r="BZ48" s="69" t="s">
        <v>38</v>
      </c>
      <c r="CA48" s="86" t="s">
        <v>38</v>
      </c>
    </row>
    <row r="49" spans="1:79">
      <c r="A49" s="21">
        <v>40</v>
      </c>
      <c r="B49" s="82">
        <v>254322.92004600001</v>
      </c>
      <c r="C49" s="82">
        <v>4505620.3210300002</v>
      </c>
      <c r="D49" s="19">
        <v>0.215</v>
      </c>
      <c r="E49" s="19">
        <v>0.19900000000000001</v>
      </c>
      <c r="F49" s="19">
        <v>0.2</v>
      </c>
      <c r="G49" s="19" t="s">
        <v>38</v>
      </c>
      <c r="H49" s="19">
        <v>0.1905</v>
      </c>
      <c r="I49" s="19">
        <v>0.17799999999999999</v>
      </c>
      <c r="J49" s="19" t="s">
        <v>38</v>
      </c>
      <c r="K49" s="19">
        <v>0.16399999999999998</v>
      </c>
      <c r="L49" s="19">
        <v>0.183</v>
      </c>
      <c r="M49" s="19" t="s">
        <v>38</v>
      </c>
      <c r="N49" s="23" t="s">
        <v>38</v>
      </c>
      <c r="O49" s="23" t="s">
        <v>38</v>
      </c>
      <c r="P49" s="23" t="s">
        <v>38</v>
      </c>
      <c r="Q49" s="23" t="s">
        <v>38</v>
      </c>
      <c r="R49" s="23" t="s">
        <v>38</v>
      </c>
      <c r="S49" s="16">
        <v>0.188</v>
      </c>
      <c r="T49" s="51">
        <v>0.21299999999999999</v>
      </c>
      <c r="U49" s="51" t="s">
        <v>38</v>
      </c>
      <c r="V49" s="51">
        <v>0.187</v>
      </c>
      <c r="W49" s="51">
        <v>0.21199999999999999</v>
      </c>
      <c r="X49" s="51">
        <v>0.19400000000000001</v>
      </c>
      <c r="Y49" s="51">
        <v>0.191</v>
      </c>
      <c r="Z49" s="51">
        <v>0.20699999999999999</v>
      </c>
      <c r="AA49" s="51">
        <v>0.20699999999999999</v>
      </c>
      <c r="AB49" s="51">
        <v>0.2</v>
      </c>
      <c r="AC49" s="51">
        <v>0.23599999999999999</v>
      </c>
      <c r="AD49" s="51">
        <v>0.22600000000000001</v>
      </c>
      <c r="AE49" s="51">
        <v>0.19800000000000001</v>
      </c>
      <c r="AF49" s="51">
        <v>0.189</v>
      </c>
      <c r="AG49" s="51">
        <v>0.22600000000000001</v>
      </c>
      <c r="AH49" s="51">
        <v>0.157</v>
      </c>
      <c r="AI49" s="51">
        <v>0.215</v>
      </c>
      <c r="AJ49" s="51">
        <v>0.16</v>
      </c>
      <c r="AK49" s="51">
        <v>0.182</v>
      </c>
      <c r="AL49" s="51">
        <v>0.182</v>
      </c>
      <c r="AM49" s="51">
        <v>0.245</v>
      </c>
      <c r="AN49" s="51">
        <v>0.17399999999999999</v>
      </c>
      <c r="AO49" s="51">
        <v>0.125</v>
      </c>
      <c r="AP49" s="23" t="s">
        <v>38</v>
      </c>
      <c r="AQ49" s="51">
        <v>0.17299999999999999</v>
      </c>
      <c r="AR49" s="23" t="s">
        <v>38</v>
      </c>
      <c r="AS49" s="51">
        <v>0.193</v>
      </c>
      <c r="AT49" s="51">
        <v>0.19</v>
      </c>
      <c r="AU49" s="51">
        <v>0.17499999999999999</v>
      </c>
      <c r="AV49" s="51">
        <v>0.16300000000000001</v>
      </c>
      <c r="AW49" s="51">
        <v>0.16700000000000001</v>
      </c>
      <c r="AX49" s="51">
        <v>0.17</v>
      </c>
      <c r="AY49" s="51">
        <v>0.188</v>
      </c>
      <c r="AZ49" s="51">
        <v>0.17399999999999999</v>
      </c>
      <c r="BA49" s="51" t="s">
        <v>38</v>
      </c>
      <c r="BB49" s="52">
        <v>0.13400000000000001</v>
      </c>
      <c r="BC49" s="51">
        <v>0.17749999999999999</v>
      </c>
      <c r="BD49" s="23" t="s">
        <v>38</v>
      </c>
      <c r="BE49" s="23" t="s">
        <v>38</v>
      </c>
      <c r="BF49" s="23" t="s">
        <v>38</v>
      </c>
      <c r="BG49" s="51">
        <v>0.19450000000000001</v>
      </c>
      <c r="BH49" s="38">
        <v>0.17699999999999999</v>
      </c>
      <c r="BI49" s="38">
        <v>0.21249999999999999</v>
      </c>
      <c r="BJ49" s="38">
        <v>0.189</v>
      </c>
      <c r="BK49" s="38">
        <v>0.1875</v>
      </c>
      <c r="BL49" s="38">
        <v>0.20849999999999999</v>
      </c>
      <c r="BM49" s="38">
        <v>0.1915</v>
      </c>
      <c r="BN49" s="51">
        <v>0.17449999999999999</v>
      </c>
      <c r="BO49" s="51">
        <v>0.17749999999999999</v>
      </c>
      <c r="BP49" s="38">
        <v>0.19600000000000001</v>
      </c>
      <c r="BQ49" s="38">
        <v>0.17099999999999999</v>
      </c>
      <c r="BR49" s="56">
        <v>0.1845</v>
      </c>
      <c r="BS49" s="56" t="s">
        <v>38</v>
      </c>
      <c r="BT49" s="56">
        <v>0.16949999999999998</v>
      </c>
      <c r="BU49" s="42">
        <v>0.155</v>
      </c>
      <c r="BV49" s="56">
        <v>0.17149999999999999</v>
      </c>
      <c r="BW49" s="42">
        <v>0.21</v>
      </c>
      <c r="BX49" s="42" t="s">
        <v>38</v>
      </c>
      <c r="BY49" s="85">
        <f>(0.225+0.227)/2</f>
        <v>0.22600000000000001</v>
      </c>
      <c r="BZ49" s="85" t="s">
        <v>38</v>
      </c>
      <c r="CA49" s="86" t="s">
        <v>38</v>
      </c>
    </row>
    <row r="50" spans="1:79">
      <c r="A50" s="21">
        <v>41</v>
      </c>
      <c r="B50" s="82">
        <v>254361.30648100001</v>
      </c>
      <c r="C50" s="82">
        <v>4505599.5975200003</v>
      </c>
      <c r="D50" s="19" t="s">
        <v>38</v>
      </c>
      <c r="E50" s="19" t="s">
        <v>38</v>
      </c>
      <c r="F50" s="19" t="s">
        <v>38</v>
      </c>
      <c r="G50" s="19" t="s">
        <v>38</v>
      </c>
      <c r="H50" s="19" t="s">
        <v>38</v>
      </c>
      <c r="I50" s="19" t="s">
        <v>38</v>
      </c>
      <c r="J50" s="19" t="s">
        <v>38</v>
      </c>
      <c r="K50" s="19" t="s">
        <v>38</v>
      </c>
      <c r="L50" s="19" t="s">
        <v>38</v>
      </c>
      <c r="M50" s="19" t="s">
        <v>38</v>
      </c>
      <c r="N50" s="23" t="s">
        <v>38</v>
      </c>
      <c r="O50" s="23" t="s">
        <v>38</v>
      </c>
      <c r="P50" s="23" t="s">
        <v>38</v>
      </c>
      <c r="Q50" s="23" t="s">
        <v>38</v>
      </c>
      <c r="R50" s="23" t="s">
        <v>38</v>
      </c>
      <c r="S50" s="23" t="s">
        <v>38</v>
      </c>
      <c r="T50" s="23" t="s">
        <v>38</v>
      </c>
      <c r="U50" s="23" t="s">
        <v>38</v>
      </c>
      <c r="V50" s="23" t="s">
        <v>38</v>
      </c>
      <c r="W50" s="23" t="s">
        <v>38</v>
      </c>
      <c r="X50" s="23" t="s">
        <v>38</v>
      </c>
      <c r="Y50" s="23" t="s">
        <v>38</v>
      </c>
      <c r="Z50" s="23" t="s">
        <v>38</v>
      </c>
      <c r="AA50" s="23" t="s">
        <v>38</v>
      </c>
      <c r="AB50" s="23" t="s">
        <v>38</v>
      </c>
      <c r="AC50" s="23" t="s">
        <v>38</v>
      </c>
      <c r="AD50" s="23" t="s">
        <v>38</v>
      </c>
      <c r="AE50" s="23" t="s">
        <v>38</v>
      </c>
      <c r="AF50" s="23" t="s">
        <v>38</v>
      </c>
      <c r="AG50" s="23" t="s">
        <v>38</v>
      </c>
      <c r="AH50" s="23" t="s">
        <v>38</v>
      </c>
      <c r="AI50" s="23" t="s">
        <v>38</v>
      </c>
      <c r="AJ50" s="23" t="s">
        <v>38</v>
      </c>
      <c r="AK50" s="23" t="s">
        <v>38</v>
      </c>
      <c r="AL50" s="23" t="s">
        <v>38</v>
      </c>
      <c r="AM50" s="23" t="s">
        <v>38</v>
      </c>
      <c r="AN50" s="23" t="s">
        <v>38</v>
      </c>
      <c r="AO50" s="23" t="s">
        <v>38</v>
      </c>
      <c r="AP50" s="23" t="s">
        <v>38</v>
      </c>
      <c r="AQ50" s="23" t="s">
        <v>38</v>
      </c>
      <c r="AR50" s="23" t="s">
        <v>38</v>
      </c>
      <c r="AS50" s="23" t="s">
        <v>38</v>
      </c>
      <c r="AT50" s="23" t="s">
        <v>38</v>
      </c>
      <c r="AU50" s="23" t="s">
        <v>38</v>
      </c>
      <c r="AV50" s="23" t="s">
        <v>38</v>
      </c>
      <c r="AW50" s="23" t="s">
        <v>38</v>
      </c>
      <c r="AX50" s="23" t="s">
        <v>38</v>
      </c>
      <c r="AY50" s="23" t="s">
        <v>38</v>
      </c>
      <c r="AZ50" s="23" t="s">
        <v>38</v>
      </c>
      <c r="BA50" s="23" t="s">
        <v>38</v>
      </c>
      <c r="BB50" s="23" t="s">
        <v>38</v>
      </c>
      <c r="BC50" s="23" t="s">
        <v>38</v>
      </c>
      <c r="BD50" s="23" t="s">
        <v>38</v>
      </c>
      <c r="BE50" s="23" t="s">
        <v>38</v>
      </c>
      <c r="BF50" s="23" t="s">
        <v>38</v>
      </c>
      <c r="BG50" s="23" t="s">
        <v>38</v>
      </c>
      <c r="BH50" s="23" t="s">
        <v>38</v>
      </c>
      <c r="BI50" s="23" t="s">
        <v>38</v>
      </c>
      <c r="BJ50" s="23" t="s">
        <v>38</v>
      </c>
      <c r="BK50" s="23" t="s">
        <v>38</v>
      </c>
      <c r="BL50" s="23" t="s">
        <v>38</v>
      </c>
      <c r="BM50" s="23" t="s">
        <v>38</v>
      </c>
      <c r="BN50" s="23" t="s">
        <v>38</v>
      </c>
      <c r="BO50" s="23" t="s">
        <v>38</v>
      </c>
      <c r="BP50" s="23" t="s">
        <v>38</v>
      </c>
      <c r="BQ50" s="23" t="s">
        <v>38</v>
      </c>
      <c r="BR50" s="23" t="s">
        <v>38</v>
      </c>
      <c r="BS50" s="23" t="s">
        <v>38</v>
      </c>
      <c r="BT50" s="23" t="s">
        <v>38</v>
      </c>
      <c r="BU50" s="23" t="s">
        <v>38</v>
      </c>
      <c r="BV50" s="23" t="s">
        <v>38</v>
      </c>
      <c r="BW50" s="23" t="s">
        <v>38</v>
      </c>
      <c r="BX50" s="23" t="s">
        <v>38</v>
      </c>
      <c r="BY50" s="69" t="s">
        <v>38</v>
      </c>
      <c r="BZ50" s="69" t="s">
        <v>38</v>
      </c>
      <c r="CA50" s="86" t="s">
        <v>38</v>
      </c>
    </row>
    <row r="51" spans="1:79">
      <c r="A51" s="21">
        <v>42</v>
      </c>
      <c r="B51" s="83">
        <v>254379.907389</v>
      </c>
      <c r="C51" s="83">
        <v>4505630.6267799996</v>
      </c>
      <c r="D51" s="19" t="s">
        <v>38</v>
      </c>
      <c r="E51" s="19" t="s">
        <v>38</v>
      </c>
      <c r="F51" s="19" t="s">
        <v>38</v>
      </c>
      <c r="G51" s="19" t="s">
        <v>38</v>
      </c>
      <c r="H51" s="19" t="s">
        <v>38</v>
      </c>
      <c r="I51" s="19" t="s">
        <v>38</v>
      </c>
      <c r="J51" s="19" t="s">
        <v>38</v>
      </c>
      <c r="K51" s="19" t="s">
        <v>38</v>
      </c>
      <c r="L51" s="19" t="s">
        <v>38</v>
      </c>
      <c r="M51" s="19" t="s">
        <v>38</v>
      </c>
      <c r="N51" s="23" t="s">
        <v>38</v>
      </c>
      <c r="O51" s="23" t="s">
        <v>38</v>
      </c>
      <c r="P51" s="23" t="s">
        <v>38</v>
      </c>
      <c r="Q51" s="23" t="s">
        <v>38</v>
      </c>
      <c r="R51" s="23" t="s">
        <v>38</v>
      </c>
      <c r="S51" s="23" t="s">
        <v>38</v>
      </c>
      <c r="T51" s="23" t="s">
        <v>38</v>
      </c>
      <c r="U51" s="23" t="s">
        <v>38</v>
      </c>
      <c r="V51" s="23" t="s">
        <v>38</v>
      </c>
      <c r="W51" s="23" t="s">
        <v>38</v>
      </c>
      <c r="X51" s="23" t="s">
        <v>38</v>
      </c>
      <c r="Y51" s="23" t="s">
        <v>38</v>
      </c>
      <c r="Z51" s="23" t="s">
        <v>38</v>
      </c>
      <c r="AA51" s="23" t="s">
        <v>38</v>
      </c>
      <c r="AB51" s="23" t="s">
        <v>38</v>
      </c>
      <c r="AC51" s="23" t="s">
        <v>38</v>
      </c>
      <c r="AD51" s="23" t="s">
        <v>38</v>
      </c>
      <c r="AE51" s="23" t="s">
        <v>38</v>
      </c>
      <c r="AF51" s="23" t="s">
        <v>38</v>
      </c>
      <c r="AG51" s="23" t="s">
        <v>38</v>
      </c>
      <c r="AH51" s="23" t="s">
        <v>38</v>
      </c>
      <c r="AI51" s="23" t="s">
        <v>38</v>
      </c>
      <c r="AJ51" s="23" t="s">
        <v>38</v>
      </c>
      <c r="AK51" s="23" t="s">
        <v>38</v>
      </c>
      <c r="AL51" s="23" t="s">
        <v>38</v>
      </c>
      <c r="AM51" s="23" t="s">
        <v>38</v>
      </c>
      <c r="AN51" s="23" t="s">
        <v>38</v>
      </c>
      <c r="AO51" s="23" t="s">
        <v>38</v>
      </c>
      <c r="AP51" s="23" t="s">
        <v>38</v>
      </c>
      <c r="AQ51" s="23" t="s">
        <v>38</v>
      </c>
      <c r="AR51" s="23" t="s">
        <v>38</v>
      </c>
      <c r="AS51" s="23" t="s">
        <v>38</v>
      </c>
      <c r="AT51" s="23" t="s">
        <v>38</v>
      </c>
      <c r="AU51" s="23" t="s">
        <v>38</v>
      </c>
      <c r="AV51" s="23" t="s">
        <v>38</v>
      </c>
      <c r="AW51" s="23" t="s">
        <v>38</v>
      </c>
      <c r="AX51" s="23" t="s">
        <v>38</v>
      </c>
      <c r="AY51" s="23" t="s">
        <v>38</v>
      </c>
      <c r="AZ51" s="23" t="s">
        <v>38</v>
      </c>
      <c r="BA51" s="23" t="s">
        <v>38</v>
      </c>
      <c r="BB51" s="23" t="s">
        <v>38</v>
      </c>
      <c r="BC51" s="23" t="s">
        <v>38</v>
      </c>
      <c r="BD51" s="23" t="s">
        <v>38</v>
      </c>
      <c r="BE51" s="23" t="s">
        <v>38</v>
      </c>
      <c r="BF51" s="23" t="s">
        <v>38</v>
      </c>
      <c r="BG51" s="23" t="s">
        <v>38</v>
      </c>
      <c r="BH51" s="23" t="s">
        <v>38</v>
      </c>
      <c r="BI51" s="23" t="s">
        <v>38</v>
      </c>
      <c r="BJ51" s="23" t="s">
        <v>38</v>
      </c>
      <c r="BK51" s="23" t="s">
        <v>38</v>
      </c>
      <c r="BL51" s="23" t="s">
        <v>38</v>
      </c>
      <c r="BM51" s="23" t="s">
        <v>38</v>
      </c>
      <c r="BN51" s="23" t="s">
        <v>38</v>
      </c>
      <c r="BO51" s="23" t="s">
        <v>38</v>
      </c>
      <c r="BP51" s="23" t="s">
        <v>38</v>
      </c>
      <c r="BQ51" s="23" t="s">
        <v>38</v>
      </c>
      <c r="BR51" s="23" t="s">
        <v>38</v>
      </c>
      <c r="BS51" s="23" t="s">
        <v>38</v>
      </c>
      <c r="BT51" s="23" t="s">
        <v>38</v>
      </c>
      <c r="BU51" s="23" t="s">
        <v>38</v>
      </c>
      <c r="BV51" s="23" t="s">
        <v>38</v>
      </c>
      <c r="BW51" s="23" t="s">
        <v>38</v>
      </c>
      <c r="BX51" s="23" t="s">
        <v>38</v>
      </c>
      <c r="BY51" s="69" t="s">
        <v>38</v>
      </c>
      <c r="BZ51" s="69" t="s">
        <v>38</v>
      </c>
      <c r="CA51" s="86" t="s">
        <v>38</v>
      </c>
    </row>
    <row r="52" spans="1:79">
      <c r="A52" s="21">
        <v>43</v>
      </c>
      <c r="B52" s="83">
        <v>254361.50803699999</v>
      </c>
      <c r="C52" s="83">
        <v>4505641.8651099997</v>
      </c>
      <c r="D52" s="19" t="s">
        <v>38</v>
      </c>
      <c r="E52" s="19" t="s">
        <v>38</v>
      </c>
      <c r="F52" s="19" t="s">
        <v>38</v>
      </c>
      <c r="G52" s="19" t="s">
        <v>38</v>
      </c>
      <c r="H52" s="19" t="s">
        <v>38</v>
      </c>
      <c r="I52" s="19" t="s">
        <v>38</v>
      </c>
      <c r="J52" s="19" t="s">
        <v>38</v>
      </c>
      <c r="K52" s="19" t="s">
        <v>38</v>
      </c>
      <c r="L52" s="19" t="s">
        <v>38</v>
      </c>
      <c r="M52" s="19" t="s">
        <v>38</v>
      </c>
      <c r="N52" s="23" t="s">
        <v>38</v>
      </c>
      <c r="O52" s="23" t="s">
        <v>38</v>
      </c>
      <c r="P52" s="23" t="s">
        <v>38</v>
      </c>
      <c r="Q52" s="23" t="s">
        <v>38</v>
      </c>
      <c r="R52" s="23" t="s">
        <v>38</v>
      </c>
      <c r="S52" s="23" t="s">
        <v>38</v>
      </c>
      <c r="T52" s="23" t="s">
        <v>38</v>
      </c>
      <c r="U52" s="23" t="s">
        <v>38</v>
      </c>
      <c r="V52" s="23" t="s">
        <v>38</v>
      </c>
      <c r="W52" s="23" t="s">
        <v>38</v>
      </c>
      <c r="X52" s="23" t="s">
        <v>38</v>
      </c>
      <c r="Y52" s="23" t="s">
        <v>38</v>
      </c>
      <c r="Z52" s="23" t="s">
        <v>38</v>
      </c>
      <c r="AA52" s="23" t="s">
        <v>38</v>
      </c>
      <c r="AB52" s="23" t="s">
        <v>38</v>
      </c>
      <c r="AC52" s="23" t="s">
        <v>38</v>
      </c>
      <c r="AD52" s="23" t="s">
        <v>38</v>
      </c>
      <c r="AE52" s="23" t="s">
        <v>38</v>
      </c>
      <c r="AF52" s="23" t="s">
        <v>38</v>
      </c>
      <c r="AG52" s="23" t="s">
        <v>38</v>
      </c>
      <c r="AH52" s="23" t="s">
        <v>38</v>
      </c>
      <c r="AI52" s="23" t="s">
        <v>38</v>
      </c>
      <c r="AJ52" s="23" t="s">
        <v>38</v>
      </c>
      <c r="AK52" s="23" t="s">
        <v>38</v>
      </c>
      <c r="AL52" s="23" t="s">
        <v>38</v>
      </c>
      <c r="AM52" s="23" t="s">
        <v>38</v>
      </c>
      <c r="AN52" s="23" t="s">
        <v>38</v>
      </c>
      <c r="AO52" s="23" t="s">
        <v>38</v>
      </c>
      <c r="AP52" s="23" t="s">
        <v>38</v>
      </c>
      <c r="AQ52" s="23" t="s">
        <v>38</v>
      </c>
      <c r="AR52" s="23" t="s">
        <v>38</v>
      </c>
      <c r="AS52" s="23" t="s">
        <v>38</v>
      </c>
      <c r="AT52" s="23" t="s">
        <v>38</v>
      </c>
      <c r="AU52" s="23" t="s">
        <v>38</v>
      </c>
      <c r="AV52" s="23" t="s">
        <v>38</v>
      </c>
      <c r="AW52" s="23" t="s">
        <v>38</v>
      </c>
      <c r="AX52" s="23" t="s">
        <v>38</v>
      </c>
      <c r="AY52" s="23" t="s">
        <v>38</v>
      </c>
      <c r="AZ52" s="23" t="s">
        <v>38</v>
      </c>
      <c r="BA52" s="23" t="s">
        <v>38</v>
      </c>
      <c r="BB52" s="23" t="s">
        <v>38</v>
      </c>
      <c r="BC52" s="23" t="s">
        <v>38</v>
      </c>
      <c r="BD52" s="23" t="s">
        <v>38</v>
      </c>
      <c r="BE52" s="23" t="s">
        <v>38</v>
      </c>
      <c r="BF52" s="23" t="s">
        <v>38</v>
      </c>
      <c r="BG52" s="23" t="s">
        <v>38</v>
      </c>
      <c r="BH52" s="23" t="s">
        <v>38</v>
      </c>
      <c r="BI52" s="23" t="s">
        <v>38</v>
      </c>
      <c r="BJ52" s="23" t="s">
        <v>38</v>
      </c>
      <c r="BK52" s="23" t="s">
        <v>38</v>
      </c>
      <c r="BL52" s="23" t="s">
        <v>38</v>
      </c>
      <c r="BM52" s="23" t="s">
        <v>38</v>
      </c>
      <c r="BN52" s="23" t="s">
        <v>38</v>
      </c>
      <c r="BO52" s="23" t="s">
        <v>38</v>
      </c>
      <c r="BP52" s="23" t="s">
        <v>38</v>
      </c>
      <c r="BQ52" s="23" t="s">
        <v>38</v>
      </c>
      <c r="BR52" s="23" t="s">
        <v>38</v>
      </c>
      <c r="BS52" s="23" t="s">
        <v>38</v>
      </c>
      <c r="BT52" s="23" t="s">
        <v>38</v>
      </c>
      <c r="BU52" s="23" t="s">
        <v>38</v>
      </c>
      <c r="BV52" s="23" t="s">
        <v>38</v>
      </c>
      <c r="BW52" s="23" t="s">
        <v>38</v>
      </c>
      <c r="BX52" s="23" t="s">
        <v>38</v>
      </c>
      <c r="BY52" s="69" t="s">
        <v>38</v>
      </c>
      <c r="BZ52" s="69" t="s">
        <v>38</v>
      </c>
      <c r="CA52" s="86" t="s">
        <v>38</v>
      </c>
    </row>
    <row r="53" spans="1:79">
      <c r="A53" s="21">
        <v>44</v>
      </c>
      <c r="B53" s="82">
        <v>254358.81478300001</v>
      </c>
      <c r="C53" s="82">
        <v>4505658.5760300001</v>
      </c>
      <c r="D53" s="19">
        <v>0.18</v>
      </c>
      <c r="E53" s="19">
        <v>0.14849999999999999</v>
      </c>
      <c r="F53" s="19">
        <v>0.13350000000000001</v>
      </c>
      <c r="G53" s="19">
        <v>0.122</v>
      </c>
      <c r="H53" s="19">
        <v>0.122</v>
      </c>
      <c r="I53" s="19">
        <v>0.11550000000000001</v>
      </c>
      <c r="J53" s="19">
        <v>0.1075</v>
      </c>
      <c r="K53" s="19">
        <v>8.5000000000000006E-2</v>
      </c>
      <c r="L53" s="19">
        <v>8.5500000000000007E-2</v>
      </c>
      <c r="M53" s="19">
        <v>7.0000000000000007E-2</v>
      </c>
      <c r="N53" s="16">
        <v>0.1245</v>
      </c>
      <c r="O53" s="16">
        <v>7.85E-2</v>
      </c>
      <c r="P53" s="16">
        <v>5.5999999999999994E-2</v>
      </c>
      <c r="Q53" s="16">
        <v>0.14699999999999999</v>
      </c>
      <c r="R53" s="16">
        <v>0.1525</v>
      </c>
      <c r="S53" s="16">
        <v>7.4999999999999997E-2</v>
      </c>
      <c r="T53" s="51">
        <v>0.249</v>
      </c>
      <c r="U53" s="51">
        <v>0.183</v>
      </c>
      <c r="V53" s="51">
        <v>0.17299999999999999</v>
      </c>
      <c r="W53" s="51">
        <v>0.13700000000000001</v>
      </c>
      <c r="X53" s="51">
        <v>0.152</v>
      </c>
      <c r="Y53" s="51">
        <v>0.184</v>
      </c>
      <c r="Z53" s="51">
        <v>0.13100000000000001</v>
      </c>
      <c r="AA53" s="51">
        <v>0.17</v>
      </c>
      <c r="AB53" s="51">
        <v>0.16800000000000001</v>
      </c>
      <c r="AC53" s="51">
        <v>0.23499999999999999</v>
      </c>
      <c r="AD53" s="51">
        <v>0.215</v>
      </c>
      <c r="AE53" s="51">
        <v>0.17199999999999999</v>
      </c>
      <c r="AF53" s="51">
        <v>0.126</v>
      </c>
      <c r="AG53" s="51">
        <v>5.6000000000000001E-2</v>
      </c>
      <c r="AH53" s="51">
        <v>0.05</v>
      </c>
      <c r="AI53" s="51">
        <v>0.124</v>
      </c>
      <c r="AJ53" s="51">
        <v>0.1</v>
      </c>
      <c r="AK53" s="51">
        <v>0.13</v>
      </c>
      <c r="AL53" s="23" t="s">
        <v>38</v>
      </c>
      <c r="AM53" s="51">
        <v>0.27400000000000002</v>
      </c>
      <c r="AN53" s="51">
        <v>8.4000000000000005E-2</v>
      </c>
      <c r="AO53" s="51">
        <v>9.8000000000000004E-2</v>
      </c>
      <c r="AP53" s="51">
        <v>0.17799999999999999</v>
      </c>
      <c r="AQ53" s="51">
        <v>0.187</v>
      </c>
      <c r="AR53" s="51">
        <v>5.1999999999999998E-2</v>
      </c>
      <c r="AS53" s="51">
        <v>9.8000000000000004E-2</v>
      </c>
      <c r="AT53" s="51">
        <v>0.104</v>
      </c>
      <c r="AU53" s="51">
        <v>7.5999999999999998E-2</v>
      </c>
      <c r="AV53" s="51">
        <v>0.107</v>
      </c>
      <c r="AW53" s="51">
        <v>8.6999999999999994E-2</v>
      </c>
      <c r="AX53" s="51">
        <v>4.8000000000000001E-2</v>
      </c>
      <c r="AY53" s="51">
        <v>0.123</v>
      </c>
      <c r="AZ53" s="51">
        <v>0.127</v>
      </c>
      <c r="BA53" s="51">
        <v>8.9999999999999993E-3</v>
      </c>
      <c r="BB53" s="52">
        <v>5.7500000000000002E-2</v>
      </c>
      <c r="BC53" s="51">
        <v>0.14300000000000002</v>
      </c>
      <c r="BD53" s="23" t="s">
        <v>38</v>
      </c>
      <c r="BE53" s="23" t="s">
        <v>38</v>
      </c>
      <c r="BF53" s="23" t="s">
        <v>38</v>
      </c>
      <c r="BG53" s="51">
        <v>0.17499999999999999</v>
      </c>
      <c r="BH53" s="38">
        <v>0.187</v>
      </c>
      <c r="BI53" s="55" t="s">
        <v>38</v>
      </c>
      <c r="BJ53" s="38">
        <v>0.17499999999999999</v>
      </c>
      <c r="BK53" s="38">
        <v>7.350000000000001E-2</v>
      </c>
      <c r="BL53" s="38">
        <v>0.20150000000000001</v>
      </c>
      <c r="BM53" s="38">
        <v>0.09</v>
      </c>
      <c r="BN53" s="51">
        <v>0.11649999999999999</v>
      </c>
      <c r="BO53" s="51">
        <v>0.14950000000000002</v>
      </c>
      <c r="BP53" s="38">
        <v>8.3000000000000004E-2</v>
      </c>
      <c r="BQ53" s="38">
        <v>6.8500000000000005E-2</v>
      </c>
      <c r="BR53" s="56">
        <v>0.14050000000000001</v>
      </c>
      <c r="BS53" s="56">
        <v>9.4E-2</v>
      </c>
      <c r="BT53" s="56">
        <v>5.6500000000000002E-2</v>
      </c>
      <c r="BU53" s="42">
        <v>9.35E-2</v>
      </c>
      <c r="BV53" s="56">
        <v>8.2000000000000003E-2</v>
      </c>
      <c r="BW53" s="42">
        <v>7.1000000000000008E-2</v>
      </c>
      <c r="BX53" s="42">
        <v>0.13400000000000001</v>
      </c>
      <c r="BY53" s="85">
        <f>(0.192+0.177)/2</f>
        <v>0.1845</v>
      </c>
      <c r="BZ53" s="85">
        <f>(0.169+0.272)/2</f>
        <v>0.22050000000000003</v>
      </c>
      <c r="CA53" s="86">
        <v>0.186</v>
      </c>
    </row>
    <row r="54" spans="1:79">
      <c r="A54" s="21">
        <v>45</v>
      </c>
      <c r="B54" s="82">
        <v>254403.621078</v>
      </c>
      <c r="C54" s="82">
        <v>4505611.4397299998</v>
      </c>
      <c r="D54" s="19">
        <v>0.25950000000000001</v>
      </c>
      <c r="E54" s="19">
        <v>0.23050000000000001</v>
      </c>
      <c r="F54" s="19">
        <v>0.27750000000000002</v>
      </c>
      <c r="G54" s="19">
        <v>0.27500000000000002</v>
      </c>
      <c r="H54" s="19">
        <v>0.222</v>
      </c>
      <c r="I54" s="19">
        <v>0.19700000000000001</v>
      </c>
      <c r="J54" s="19">
        <v>0.1865</v>
      </c>
      <c r="K54" s="19">
        <v>0.14150000000000001</v>
      </c>
      <c r="L54" s="19">
        <v>0.16450000000000001</v>
      </c>
      <c r="M54" s="19">
        <v>0.1285</v>
      </c>
      <c r="N54" s="16">
        <v>0.16799999999999998</v>
      </c>
      <c r="O54" s="16">
        <v>0.14499999999999999</v>
      </c>
      <c r="P54" s="16">
        <v>0.14349999999999999</v>
      </c>
      <c r="Q54" s="16">
        <v>0.19600000000000001</v>
      </c>
      <c r="R54" s="16">
        <v>0.20600000000000002</v>
      </c>
      <c r="S54" s="16">
        <v>0.2145</v>
      </c>
      <c r="T54" s="51">
        <v>0.33800000000000002</v>
      </c>
      <c r="U54" s="51">
        <v>0.25800000000000001</v>
      </c>
      <c r="V54" s="51">
        <v>0.28299999999999997</v>
      </c>
      <c r="W54" s="51">
        <v>0.25800000000000001</v>
      </c>
      <c r="X54" s="51">
        <v>0.29199999999999998</v>
      </c>
      <c r="Y54" s="51">
        <v>0.27900000000000003</v>
      </c>
      <c r="Z54" s="51">
        <v>0.29299999999999998</v>
      </c>
      <c r="AA54" s="51">
        <v>0.27900000000000003</v>
      </c>
      <c r="AB54" s="51">
        <v>0.29699999999999999</v>
      </c>
      <c r="AC54" s="51">
        <v>0.254</v>
      </c>
      <c r="AD54" s="51">
        <v>0.23899999999999999</v>
      </c>
      <c r="AE54" s="51">
        <v>0.23300000000000001</v>
      </c>
      <c r="AF54" s="51">
        <v>0.21</v>
      </c>
      <c r="AG54" s="51">
        <v>0.216</v>
      </c>
      <c r="AH54" s="51">
        <v>0.14899999999999999</v>
      </c>
      <c r="AI54" s="51">
        <v>0.187</v>
      </c>
      <c r="AJ54" s="51">
        <v>0.17499999999999999</v>
      </c>
      <c r="AK54" s="51">
        <v>0.17399999999999999</v>
      </c>
      <c r="AL54" s="23" t="s">
        <v>38</v>
      </c>
      <c r="AM54" s="51">
        <v>0.35199999999999998</v>
      </c>
      <c r="AN54" s="51">
        <v>0.24299999999999999</v>
      </c>
      <c r="AO54" s="51">
        <v>0.184</v>
      </c>
      <c r="AP54" s="51">
        <v>0.25700000000000001</v>
      </c>
      <c r="AQ54" s="51">
        <v>0.23100000000000001</v>
      </c>
      <c r="AR54" s="51">
        <v>0.221</v>
      </c>
      <c r="AS54" s="51">
        <v>0.2</v>
      </c>
      <c r="AT54" s="51">
        <v>0.189</v>
      </c>
      <c r="AU54" s="51">
        <v>0.18099999999999999</v>
      </c>
      <c r="AV54" s="51">
        <v>0.17299999999999999</v>
      </c>
      <c r="AW54" s="51">
        <v>0.11700000000000001</v>
      </c>
      <c r="AX54" s="51">
        <v>0.14099999999999999</v>
      </c>
      <c r="AY54" s="51">
        <v>0.2</v>
      </c>
      <c r="AZ54" s="51">
        <v>0.219</v>
      </c>
      <c r="BA54" s="51">
        <v>0.22</v>
      </c>
      <c r="BB54" s="52">
        <v>0.153</v>
      </c>
      <c r="BC54" s="51">
        <v>0.23949999999999999</v>
      </c>
      <c r="BD54" s="23" t="s">
        <v>38</v>
      </c>
      <c r="BE54" s="23" t="s">
        <v>38</v>
      </c>
      <c r="BF54" s="23" t="s">
        <v>38</v>
      </c>
      <c r="BG54" s="51">
        <v>0.23199999999999998</v>
      </c>
      <c r="BH54" s="38">
        <v>0.216</v>
      </c>
      <c r="BI54" s="38">
        <v>0.26100000000000001</v>
      </c>
      <c r="BJ54" s="38">
        <v>0.2475</v>
      </c>
      <c r="BK54" s="38">
        <v>0.2465</v>
      </c>
      <c r="BL54" s="38">
        <v>0.2445</v>
      </c>
      <c r="BM54" s="38">
        <v>0.26450000000000001</v>
      </c>
      <c r="BN54" s="51">
        <v>0.27250000000000002</v>
      </c>
      <c r="BO54" s="51">
        <v>0.255</v>
      </c>
      <c r="BP54" s="38">
        <v>0.221</v>
      </c>
      <c r="BQ54" s="38">
        <v>0.1825</v>
      </c>
      <c r="BR54" s="56">
        <v>0.17449999999999999</v>
      </c>
      <c r="BS54" s="23" t="s">
        <v>38</v>
      </c>
      <c r="BT54" s="56">
        <v>0.1855</v>
      </c>
      <c r="BU54" s="23" t="s">
        <v>38</v>
      </c>
      <c r="BV54" s="56">
        <v>0.17399999999999999</v>
      </c>
      <c r="BW54" s="42">
        <v>0.218</v>
      </c>
      <c r="BX54" s="42">
        <v>0.22850000000000001</v>
      </c>
      <c r="BY54" s="85">
        <f>(0.286+0.253)/2</f>
        <v>0.26949999999999996</v>
      </c>
      <c r="BZ54" s="85">
        <f>(0.306+0.351)/2</f>
        <v>0.32850000000000001</v>
      </c>
      <c r="CA54" s="86">
        <v>0.248</v>
      </c>
    </row>
    <row r="55" spans="1:79">
      <c r="A55" s="21">
        <v>46</v>
      </c>
      <c r="B55" s="82">
        <v>254407.499473</v>
      </c>
      <c r="C55" s="82">
        <v>4505609.5358499996</v>
      </c>
      <c r="D55" s="19">
        <v>0.18149999999999999</v>
      </c>
      <c r="E55" s="19">
        <v>0.123</v>
      </c>
      <c r="F55" s="19">
        <v>0.23050000000000001</v>
      </c>
      <c r="G55" s="19">
        <v>0.19750000000000001</v>
      </c>
      <c r="H55" s="19">
        <v>0.187</v>
      </c>
      <c r="I55" s="19">
        <v>0.13800000000000001</v>
      </c>
      <c r="J55" s="19">
        <v>0.14200000000000002</v>
      </c>
      <c r="K55" s="19">
        <v>0.13550000000000001</v>
      </c>
      <c r="L55" s="19">
        <v>9.8500000000000004E-2</v>
      </c>
      <c r="M55" s="19">
        <v>9.4500000000000001E-2</v>
      </c>
      <c r="N55" s="16">
        <v>0.124</v>
      </c>
      <c r="O55" s="16">
        <v>0.13300000000000001</v>
      </c>
      <c r="P55" s="16">
        <v>0.1115</v>
      </c>
      <c r="Q55" s="16">
        <v>0.19650000000000001</v>
      </c>
      <c r="R55" s="16">
        <v>0.11599999999999999</v>
      </c>
      <c r="S55" s="16">
        <v>0.219</v>
      </c>
      <c r="T55" s="51" t="s">
        <v>38</v>
      </c>
      <c r="U55" s="51">
        <v>0.17299999999999999</v>
      </c>
      <c r="V55" s="51">
        <v>0.19700000000000001</v>
      </c>
      <c r="W55" s="51">
        <v>0.19</v>
      </c>
      <c r="X55" s="51">
        <v>0.13700000000000001</v>
      </c>
      <c r="Y55" s="51">
        <v>0.123</v>
      </c>
      <c r="Z55" s="51">
        <v>0.16600000000000001</v>
      </c>
      <c r="AA55" s="51">
        <v>0.215</v>
      </c>
      <c r="AB55" s="51">
        <v>0.19600000000000001</v>
      </c>
      <c r="AC55" s="51">
        <v>0.14099999999999999</v>
      </c>
      <c r="AD55" s="51">
        <v>0.20200000000000001</v>
      </c>
      <c r="AE55" s="51">
        <v>0.16200000000000001</v>
      </c>
      <c r="AF55" s="51">
        <v>0.188</v>
      </c>
      <c r="AG55" s="51">
        <v>0.17</v>
      </c>
      <c r="AH55" s="51">
        <v>0.14899999999999999</v>
      </c>
      <c r="AI55" s="51">
        <v>0.17199999999999999</v>
      </c>
      <c r="AJ55" s="51">
        <v>0.11600000000000001</v>
      </c>
      <c r="AK55" s="51" t="s">
        <v>38</v>
      </c>
      <c r="AL55" s="23" t="s">
        <v>38</v>
      </c>
      <c r="AM55" s="51">
        <v>0.17199999999999999</v>
      </c>
      <c r="AN55" s="51">
        <v>0.161</v>
      </c>
      <c r="AO55" s="51">
        <v>0.14699999999999999</v>
      </c>
      <c r="AP55" s="51">
        <v>0.14599999999999999</v>
      </c>
      <c r="AQ55" s="51">
        <v>0.161</v>
      </c>
      <c r="AR55" s="51">
        <v>0.16500000000000001</v>
      </c>
      <c r="AS55" s="51">
        <v>0.185</v>
      </c>
      <c r="AT55" s="51">
        <v>0.128</v>
      </c>
      <c r="AU55" s="51">
        <v>0.13300000000000001</v>
      </c>
      <c r="AV55" s="51">
        <v>0.129</v>
      </c>
      <c r="AW55" s="51">
        <v>0.13300000000000001</v>
      </c>
      <c r="AX55" s="51">
        <v>9.8000000000000004E-2</v>
      </c>
      <c r="AY55" s="51">
        <v>0.12</v>
      </c>
      <c r="AZ55" s="51">
        <v>0.19600000000000001</v>
      </c>
      <c r="BA55" s="51">
        <v>0.13700000000000001</v>
      </c>
      <c r="BB55" s="52">
        <v>0.126</v>
      </c>
      <c r="BC55" s="51" t="s">
        <v>38</v>
      </c>
      <c r="BD55" s="23" t="s">
        <v>38</v>
      </c>
      <c r="BE55" s="23" t="s">
        <v>38</v>
      </c>
      <c r="BF55" s="23" t="s">
        <v>38</v>
      </c>
      <c r="BG55" s="51">
        <v>0.20650000000000002</v>
      </c>
      <c r="BH55" s="38">
        <v>0.1285</v>
      </c>
      <c r="BI55" s="38">
        <v>0.17499999999999999</v>
      </c>
      <c r="BJ55" s="38">
        <v>0.16600000000000001</v>
      </c>
      <c r="BK55" s="38">
        <v>0.14499999999999999</v>
      </c>
      <c r="BL55" s="38">
        <v>0.20499999999999999</v>
      </c>
      <c r="BM55" s="38">
        <v>0.16250000000000001</v>
      </c>
      <c r="BN55" s="51">
        <v>0.2135</v>
      </c>
      <c r="BO55" s="51">
        <v>0.16149999999999998</v>
      </c>
      <c r="BP55" s="38">
        <v>0.17899999999999999</v>
      </c>
      <c r="BQ55" s="38">
        <v>0.14949999999999999</v>
      </c>
      <c r="BR55" s="56">
        <v>0.13400000000000001</v>
      </c>
      <c r="BS55" s="23" t="s">
        <v>38</v>
      </c>
      <c r="BT55" s="56">
        <v>0.153</v>
      </c>
      <c r="BU55" s="23" t="s">
        <v>38</v>
      </c>
      <c r="BV55" s="56">
        <v>0.186</v>
      </c>
      <c r="BW55" s="42">
        <v>0.1895</v>
      </c>
      <c r="BX55" s="42">
        <v>0.19500000000000001</v>
      </c>
      <c r="BY55" s="85">
        <f>(0.209+0.268)/2</f>
        <v>0.23849999999999999</v>
      </c>
      <c r="BZ55" s="85">
        <f>(0.28+0.232)/2</f>
        <v>0.25600000000000001</v>
      </c>
      <c r="CA55" s="86">
        <v>0.188</v>
      </c>
    </row>
    <row r="56" spans="1:79">
      <c r="A56" s="21">
        <v>47</v>
      </c>
      <c r="B56" s="82">
        <v>254415.342535</v>
      </c>
      <c r="C56" s="82">
        <v>4505592.7560700001</v>
      </c>
      <c r="D56" s="19">
        <v>0.153</v>
      </c>
      <c r="E56" s="19">
        <v>9.5000000000000001E-2</v>
      </c>
      <c r="F56" s="19">
        <v>0.10249999999999999</v>
      </c>
      <c r="G56" s="19">
        <v>0.1095</v>
      </c>
      <c r="H56" s="19">
        <v>0.11</v>
      </c>
      <c r="I56" s="19">
        <v>9.0499999999999997E-2</v>
      </c>
      <c r="J56" s="19">
        <v>0.11699999999999999</v>
      </c>
      <c r="K56" s="19">
        <v>7.85E-2</v>
      </c>
      <c r="L56" s="19">
        <v>0.1855</v>
      </c>
      <c r="M56" s="19">
        <v>6.2E-2</v>
      </c>
      <c r="N56" s="16">
        <v>9.0499999999999997E-2</v>
      </c>
      <c r="O56" s="16">
        <v>7.4999999999999997E-2</v>
      </c>
      <c r="P56" s="16">
        <v>7.8E-2</v>
      </c>
      <c r="Q56" s="16">
        <v>9.5500000000000002E-2</v>
      </c>
      <c r="R56" s="16">
        <v>0.10249999999999999</v>
      </c>
      <c r="S56" s="16">
        <v>0.1255</v>
      </c>
      <c r="T56" s="51">
        <v>0.127</v>
      </c>
      <c r="U56" s="51">
        <v>5.3999999999999999E-2</v>
      </c>
      <c r="V56" s="51">
        <v>5.6000000000000001E-2</v>
      </c>
      <c r="W56" s="51">
        <v>4.2000000000000003E-2</v>
      </c>
      <c r="X56" s="51">
        <v>4.4999999999999998E-2</v>
      </c>
      <c r="Y56" s="51">
        <v>2.1000000000000001E-2</v>
      </c>
      <c r="Z56" s="51">
        <v>3.6999999999999998E-2</v>
      </c>
      <c r="AA56" s="51">
        <v>4.2000000000000003E-2</v>
      </c>
      <c r="AB56" s="51">
        <v>0.04</v>
      </c>
      <c r="AC56" s="51">
        <v>0.05</v>
      </c>
      <c r="AD56" s="51">
        <v>4.4999999999999998E-2</v>
      </c>
      <c r="AE56" s="51">
        <v>5.0999999999999997E-2</v>
      </c>
      <c r="AF56" s="51">
        <v>2.5000000000000001E-2</v>
      </c>
      <c r="AG56" s="51">
        <v>4.0000000000000001E-3</v>
      </c>
      <c r="AH56" s="51">
        <v>4.5999999999999999E-2</v>
      </c>
      <c r="AI56" s="51">
        <v>3.2000000000000001E-2</v>
      </c>
      <c r="AJ56" s="51">
        <v>6.7000000000000004E-2</v>
      </c>
      <c r="AK56" s="51">
        <v>4.2000000000000003E-2</v>
      </c>
      <c r="AL56" s="23" t="s">
        <v>38</v>
      </c>
      <c r="AM56" s="51">
        <v>0.11</v>
      </c>
      <c r="AN56" s="51">
        <v>9.6000000000000002E-2</v>
      </c>
      <c r="AO56" s="51">
        <v>6.5000000000000002E-2</v>
      </c>
      <c r="AP56" s="51">
        <v>0.14000000000000001</v>
      </c>
      <c r="AQ56" s="51">
        <v>9.9000000000000005E-2</v>
      </c>
      <c r="AR56" s="51">
        <v>9.6000000000000002E-2</v>
      </c>
      <c r="AS56" s="51">
        <v>9.6000000000000002E-2</v>
      </c>
      <c r="AT56" s="51">
        <v>9.9000000000000005E-2</v>
      </c>
      <c r="AU56" s="51">
        <v>8.7999999999999995E-2</v>
      </c>
      <c r="AV56" s="51">
        <v>9.6000000000000002E-2</v>
      </c>
      <c r="AW56" s="51">
        <v>0.104</v>
      </c>
      <c r="AX56" s="51">
        <v>8.8999999999999996E-2</v>
      </c>
      <c r="AY56" s="51">
        <v>9.2999999999999999E-2</v>
      </c>
      <c r="AZ56" s="51">
        <v>9.6000000000000002E-2</v>
      </c>
      <c r="BA56" s="51">
        <v>8.4000000000000005E-2</v>
      </c>
      <c r="BB56" s="52">
        <v>3.2000000000000001E-2</v>
      </c>
      <c r="BC56" s="51">
        <v>0.186</v>
      </c>
      <c r="BD56" s="23" t="s">
        <v>38</v>
      </c>
      <c r="BE56" s="23" t="s">
        <v>38</v>
      </c>
      <c r="BF56" s="23" t="s">
        <v>38</v>
      </c>
      <c r="BG56" s="51">
        <v>0.1215</v>
      </c>
      <c r="BH56" s="38">
        <v>8.8999999999999996E-2</v>
      </c>
      <c r="BI56" s="38">
        <v>9.9500000000000005E-2</v>
      </c>
      <c r="BJ56" s="38">
        <v>0.158</v>
      </c>
      <c r="BK56" s="38">
        <v>0.13900000000000001</v>
      </c>
      <c r="BL56" s="38">
        <v>0.105</v>
      </c>
      <c r="BM56" s="38">
        <v>0.10249999999999999</v>
      </c>
      <c r="BN56" s="51">
        <v>0.1525</v>
      </c>
      <c r="BO56" s="51">
        <v>0.14749999999999999</v>
      </c>
      <c r="BP56" s="38">
        <v>0.14849999999999999</v>
      </c>
      <c r="BQ56" s="38">
        <v>9.4E-2</v>
      </c>
      <c r="BR56" s="56">
        <v>9.6000000000000002E-2</v>
      </c>
      <c r="BS56" s="23" t="s">
        <v>38</v>
      </c>
      <c r="BT56" s="56">
        <v>9.4500000000000001E-2</v>
      </c>
      <c r="BU56" s="23" t="s">
        <v>38</v>
      </c>
      <c r="BV56" s="56">
        <v>0.105</v>
      </c>
      <c r="BW56" s="42">
        <v>0.11</v>
      </c>
      <c r="BX56" s="42">
        <v>0.13550000000000001</v>
      </c>
      <c r="BY56" s="85">
        <f>(0.183+0.172)/2</f>
        <v>0.17749999999999999</v>
      </c>
      <c r="BZ56" s="85">
        <f>(0.205+0.219)/2</f>
        <v>0.21199999999999999</v>
      </c>
      <c r="CA56" s="86">
        <v>0.16700000000000001</v>
      </c>
    </row>
    <row r="57" spans="1:79">
      <c r="A57" s="21">
        <v>48</v>
      </c>
      <c r="B57" s="82">
        <v>254410.90681099999</v>
      </c>
      <c r="C57" s="82">
        <v>4505631.4095900003</v>
      </c>
      <c r="D57" s="19" t="s">
        <v>38</v>
      </c>
      <c r="E57" s="19" t="s">
        <v>38</v>
      </c>
      <c r="F57" s="19" t="s">
        <v>38</v>
      </c>
      <c r="G57" s="19" t="s">
        <v>38</v>
      </c>
      <c r="H57" s="19" t="s">
        <v>38</v>
      </c>
      <c r="I57" s="19" t="s">
        <v>38</v>
      </c>
      <c r="J57" s="19" t="s">
        <v>38</v>
      </c>
      <c r="K57" s="19" t="s">
        <v>38</v>
      </c>
      <c r="L57" s="19" t="s">
        <v>38</v>
      </c>
      <c r="M57" s="19" t="s">
        <v>38</v>
      </c>
      <c r="N57" s="23" t="s">
        <v>38</v>
      </c>
      <c r="O57" s="23" t="s">
        <v>38</v>
      </c>
      <c r="P57" s="23" t="s">
        <v>38</v>
      </c>
      <c r="Q57" s="23" t="s">
        <v>38</v>
      </c>
      <c r="R57" s="23" t="s">
        <v>38</v>
      </c>
      <c r="S57" s="23" t="s">
        <v>38</v>
      </c>
      <c r="T57" s="23" t="s">
        <v>38</v>
      </c>
      <c r="U57" s="23" t="s">
        <v>38</v>
      </c>
      <c r="V57" s="23" t="s">
        <v>38</v>
      </c>
      <c r="W57" s="23" t="s">
        <v>38</v>
      </c>
      <c r="X57" s="23" t="s">
        <v>38</v>
      </c>
      <c r="Y57" s="23" t="s">
        <v>38</v>
      </c>
      <c r="Z57" s="23" t="s">
        <v>38</v>
      </c>
      <c r="AA57" s="23" t="s">
        <v>38</v>
      </c>
      <c r="AB57" s="23" t="s">
        <v>38</v>
      </c>
      <c r="AC57" s="23" t="s">
        <v>38</v>
      </c>
      <c r="AD57" s="23" t="s">
        <v>38</v>
      </c>
      <c r="AE57" s="23" t="s">
        <v>38</v>
      </c>
      <c r="AF57" s="23" t="s">
        <v>38</v>
      </c>
      <c r="AG57" s="23" t="s">
        <v>38</v>
      </c>
      <c r="AH57" s="23" t="s">
        <v>38</v>
      </c>
      <c r="AI57" s="23" t="s">
        <v>38</v>
      </c>
      <c r="AJ57" s="23" t="s">
        <v>38</v>
      </c>
      <c r="AK57" s="23" t="s">
        <v>38</v>
      </c>
      <c r="AL57" s="23" t="s">
        <v>38</v>
      </c>
      <c r="AM57" s="23" t="s">
        <v>38</v>
      </c>
      <c r="AN57" s="23" t="s">
        <v>38</v>
      </c>
      <c r="AO57" s="23" t="s">
        <v>38</v>
      </c>
      <c r="AP57" s="23" t="s">
        <v>38</v>
      </c>
      <c r="AQ57" s="23" t="s">
        <v>38</v>
      </c>
      <c r="AR57" s="23" t="s">
        <v>38</v>
      </c>
      <c r="AS57" s="23" t="s">
        <v>38</v>
      </c>
      <c r="AT57" s="23" t="s">
        <v>38</v>
      </c>
      <c r="AU57" s="23" t="s">
        <v>38</v>
      </c>
      <c r="AV57" s="23" t="s">
        <v>38</v>
      </c>
      <c r="AW57" s="23" t="s">
        <v>38</v>
      </c>
      <c r="AX57" s="23" t="s">
        <v>38</v>
      </c>
      <c r="AY57" s="23" t="s">
        <v>38</v>
      </c>
      <c r="AZ57" s="23" t="s">
        <v>38</v>
      </c>
      <c r="BA57" s="23" t="s">
        <v>38</v>
      </c>
      <c r="BB57" s="23" t="s">
        <v>38</v>
      </c>
      <c r="BC57" s="23" t="s">
        <v>38</v>
      </c>
      <c r="BD57" s="23" t="s">
        <v>38</v>
      </c>
      <c r="BE57" s="23" t="s">
        <v>38</v>
      </c>
      <c r="BF57" s="23" t="s">
        <v>38</v>
      </c>
      <c r="BG57" s="23" t="s">
        <v>38</v>
      </c>
      <c r="BH57" s="23" t="s">
        <v>38</v>
      </c>
      <c r="BI57" s="23" t="s">
        <v>38</v>
      </c>
      <c r="BJ57" s="23" t="s">
        <v>38</v>
      </c>
      <c r="BK57" s="23" t="s">
        <v>38</v>
      </c>
      <c r="BL57" s="23" t="s">
        <v>38</v>
      </c>
      <c r="BM57" s="23" t="s">
        <v>38</v>
      </c>
      <c r="BN57" s="23" t="s">
        <v>38</v>
      </c>
      <c r="BO57" s="23" t="s">
        <v>38</v>
      </c>
      <c r="BP57" s="23" t="s">
        <v>38</v>
      </c>
      <c r="BQ57" s="23" t="s">
        <v>38</v>
      </c>
      <c r="BR57" s="23" t="s">
        <v>38</v>
      </c>
      <c r="BS57" s="23" t="s">
        <v>38</v>
      </c>
      <c r="BT57" s="23" t="s">
        <v>38</v>
      </c>
      <c r="BU57" s="23" t="s">
        <v>38</v>
      </c>
      <c r="BV57" s="23" t="s">
        <v>38</v>
      </c>
      <c r="BW57" s="23" t="s">
        <v>38</v>
      </c>
      <c r="BX57" s="23" t="s">
        <v>38</v>
      </c>
      <c r="BY57" s="69" t="s">
        <v>38</v>
      </c>
      <c r="BZ57" s="69" t="s">
        <v>38</v>
      </c>
      <c r="CA57" s="86" t="s">
        <v>38</v>
      </c>
    </row>
    <row r="58" spans="1:79">
      <c r="A58" s="21">
        <v>49</v>
      </c>
      <c r="B58" s="83">
        <v>254409.04055599999</v>
      </c>
      <c r="C58" s="83">
        <v>4505680.3762499997</v>
      </c>
      <c r="D58" s="19" t="s">
        <v>38</v>
      </c>
      <c r="E58" s="19" t="s">
        <v>38</v>
      </c>
      <c r="F58" s="19" t="s">
        <v>38</v>
      </c>
      <c r="G58" s="19" t="s">
        <v>38</v>
      </c>
      <c r="H58" s="19" t="s">
        <v>38</v>
      </c>
      <c r="I58" s="19" t="s">
        <v>38</v>
      </c>
      <c r="J58" s="19" t="s">
        <v>38</v>
      </c>
      <c r="K58" s="19" t="s">
        <v>38</v>
      </c>
      <c r="L58" s="19" t="s">
        <v>38</v>
      </c>
      <c r="M58" s="19" t="s">
        <v>38</v>
      </c>
      <c r="N58" s="23" t="s">
        <v>38</v>
      </c>
      <c r="O58" s="23" t="s">
        <v>38</v>
      </c>
      <c r="P58" s="23" t="s">
        <v>38</v>
      </c>
      <c r="Q58" s="23" t="s">
        <v>38</v>
      </c>
      <c r="R58" s="23" t="s">
        <v>38</v>
      </c>
      <c r="S58" s="23" t="s">
        <v>38</v>
      </c>
      <c r="T58" s="23" t="s">
        <v>38</v>
      </c>
      <c r="U58" s="23" t="s">
        <v>38</v>
      </c>
      <c r="V58" s="23" t="s">
        <v>38</v>
      </c>
      <c r="W58" s="23" t="s">
        <v>38</v>
      </c>
      <c r="X58" s="23" t="s">
        <v>38</v>
      </c>
      <c r="Y58" s="23" t="s">
        <v>38</v>
      </c>
      <c r="Z58" s="23" t="s">
        <v>38</v>
      </c>
      <c r="AA58" s="23" t="s">
        <v>38</v>
      </c>
      <c r="AB58" s="23" t="s">
        <v>38</v>
      </c>
      <c r="AC58" s="23" t="s">
        <v>38</v>
      </c>
      <c r="AD58" s="23" t="s">
        <v>38</v>
      </c>
      <c r="AE58" s="23" t="s">
        <v>38</v>
      </c>
      <c r="AF58" s="23" t="s">
        <v>38</v>
      </c>
      <c r="AG58" s="23" t="s">
        <v>38</v>
      </c>
      <c r="AH58" s="23" t="s">
        <v>38</v>
      </c>
      <c r="AI58" s="23" t="s">
        <v>38</v>
      </c>
      <c r="AJ58" s="23" t="s">
        <v>38</v>
      </c>
      <c r="AK58" s="23" t="s">
        <v>38</v>
      </c>
      <c r="AL58" s="23" t="s">
        <v>38</v>
      </c>
      <c r="AM58" s="23" t="s">
        <v>38</v>
      </c>
      <c r="AN58" s="23" t="s">
        <v>38</v>
      </c>
      <c r="AO58" s="23" t="s">
        <v>38</v>
      </c>
      <c r="AP58" s="23" t="s">
        <v>38</v>
      </c>
      <c r="AQ58" s="23" t="s">
        <v>38</v>
      </c>
      <c r="AR58" s="23" t="s">
        <v>38</v>
      </c>
      <c r="AS58" s="23" t="s">
        <v>38</v>
      </c>
      <c r="AT58" s="23" t="s">
        <v>38</v>
      </c>
      <c r="AU58" s="23" t="s">
        <v>38</v>
      </c>
      <c r="AV58" s="23" t="s">
        <v>38</v>
      </c>
      <c r="AW58" s="23" t="s">
        <v>38</v>
      </c>
      <c r="AX58" s="23" t="s">
        <v>38</v>
      </c>
      <c r="AY58" s="23" t="s">
        <v>38</v>
      </c>
      <c r="AZ58" s="23" t="s">
        <v>38</v>
      </c>
      <c r="BA58" s="23" t="s">
        <v>38</v>
      </c>
      <c r="BB58" s="23" t="s">
        <v>38</v>
      </c>
      <c r="BC58" s="23" t="s">
        <v>38</v>
      </c>
      <c r="BD58" s="23" t="s">
        <v>38</v>
      </c>
      <c r="BE58" s="23" t="s">
        <v>38</v>
      </c>
      <c r="BF58" s="23" t="s">
        <v>38</v>
      </c>
      <c r="BG58" s="23" t="s">
        <v>38</v>
      </c>
      <c r="BH58" s="23" t="s">
        <v>38</v>
      </c>
      <c r="BI58" s="23" t="s">
        <v>38</v>
      </c>
      <c r="BJ58" s="23" t="s">
        <v>38</v>
      </c>
      <c r="BK58" s="23" t="s">
        <v>38</v>
      </c>
      <c r="BL58" s="23" t="s">
        <v>38</v>
      </c>
      <c r="BM58" s="23" t="s">
        <v>38</v>
      </c>
      <c r="BN58" s="23" t="s">
        <v>38</v>
      </c>
      <c r="BO58" s="23" t="s">
        <v>38</v>
      </c>
      <c r="BP58" s="23" t="s">
        <v>38</v>
      </c>
      <c r="BQ58" s="23" t="s">
        <v>38</v>
      </c>
      <c r="BR58" s="23" t="s">
        <v>38</v>
      </c>
      <c r="BS58" s="23" t="s">
        <v>38</v>
      </c>
      <c r="BT58" s="23" t="s">
        <v>38</v>
      </c>
      <c r="BU58" s="23" t="s">
        <v>38</v>
      </c>
      <c r="BV58" s="23" t="s">
        <v>38</v>
      </c>
      <c r="BW58" s="23" t="s">
        <v>38</v>
      </c>
      <c r="BX58" s="23" t="s">
        <v>38</v>
      </c>
      <c r="BY58" s="69" t="s">
        <v>38</v>
      </c>
      <c r="BZ58" s="69" t="s">
        <v>38</v>
      </c>
      <c r="CA58" s="86" t="s">
        <v>38</v>
      </c>
    </row>
    <row r="59" spans="1:79">
      <c r="A59" s="21">
        <v>50</v>
      </c>
      <c r="B59" s="82">
        <v>254459.96109699999</v>
      </c>
      <c r="C59" s="82">
        <v>4505611.5409000004</v>
      </c>
      <c r="D59" s="19" t="s">
        <v>38</v>
      </c>
      <c r="E59" s="19" t="s">
        <v>38</v>
      </c>
      <c r="F59" s="19" t="s">
        <v>38</v>
      </c>
      <c r="G59" s="19" t="s">
        <v>38</v>
      </c>
      <c r="H59" s="19" t="s">
        <v>38</v>
      </c>
      <c r="I59" s="19" t="s">
        <v>38</v>
      </c>
      <c r="J59" s="19" t="s">
        <v>38</v>
      </c>
      <c r="K59" s="19" t="s">
        <v>38</v>
      </c>
      <c r="L59" s="19" t="s">
        <v>38</v>
      </c>
      <c r="M59" s="19" t="s">
        <v>38</v>
      </c>
      <c r="N59" s="23" t="s">
        <v>38</v>
      </c>
      <c r="O59" s="23" t="s">
        <v>38</v>
      </c>
      <c r="P59" s="23" t="s">
        <v>38</v>
      </c>
      <c r="Q59" s="23" t="s">
        <v>38</v>
      </c>
      <c r="R59" s="23" t="s">
        <v>38</v>
      </c>
      <c r="S59" s="23" t="s">
        <v>38</v>
      </c>
      <c r="T59" s="23" t="s">
        <v>38</v>
      </c>
      <c r="U59" s="23" t="s">
        <v>38</v>
      </c>
      <c r="V59" s="23" t="s">
        <v>38</v>
      </c>
      <c r="W59" s="23" t="s">
        <v>38</v>
      </c>
      <c r="X59" s="23" t="s">
        <v>38</v>
      </c>
      <c r="Y59" s="23" t="s">
        <v>38</v>
      </c>
      <c r="Z59" s="23" t="s">
        <v>38</v>
      </c>
      <c r="AA59" s="23" t="s">
        <v>38</v>
      </c>
      <c r="AB59" s="23" t="s">
        <v>38</v>
      </c>
      <c r="AC59" s="23" t="s">
        <v>38</v>
      </c>
      <c r="AD59" s="23" t="s">
        <v>38</v>
      </c>
      <c r="AE59" s="23" t="s">
        <v>38</v>
      </c>
      <c r="AF59" s="23" t="s">
        <v>38</v>
      </c>
      <c r="AG59" s="23" t="s">
        <v>38</v>
      </c>
      <c r="AH59" s="23" t="s">
        <v>38</v>
      </c>
      <c r="AI59" s="23" t="s">
        <v>38</v>
      </c>
      <c r="AJ59" s="23" t="s">
        <v>38</v>
      </c>
      <c r="AK59" s="23" t="s">
        <v>38</v>
      </c>
      <c r="AL59" s="23" t="s">
        <v>38</v>
      </c>
      <c r="AM59" s="23" t="s">
        <v>38</v>
      </c>
      <c r="AN59" s="23" t="s">
        <v>38</v>
      </c>
      <c r="AO59" s="51">
        <v>0.24199999999999999</v>
      </c>
      <c r="AP59" s="23" t="s">
        <v>38</v>
      </c>
      <c r="AQ59" s="23" t="s">
        <v>38</v>
      </c>
      <c r="AR59" s="23" t="s">
        <v>38</v>
      </c>
      <c r="AS59" s="51">
        <v>0.25700000000000001</v>
      </c>
      <c r="AT59" s="51" t="s">
        <v>38</v>
      </c>
      <c r="AU59" s="51">
        <v>0.26400000000000001</v>
      </c>
      <c r="AV59" s="51" t="s">
        <v>38</v>
      </c>
      <c r="AW59" s="51" t="s">
        <v>38</v>
      </c>
      <c r="AX59" s="51">
        <v>0.22900000000000001</v>
      </c>
      <c r="AY59" s="55" t="s">
        <v>38</v>
      </c>
      <c r="AZ59" s="55" t="s">
        <v>38</v>
      </c>
      <c r="BA59" s="51">
        <v>0.221</v>
      </c>
      <c r="BB59" s="57" t="s">
        <v>38</v>
      </c>
      <c r="BC59" s="51" t="s">
        <v>38</v>
      </c>
      <c r="BD59" s="23" t="s">
        <v>38</v>
      </c>
      <c r="BE59" s="23" t="s">
        <v>38</v>
      </c>
      <c r="BF59" s="23" t="s">
        <v>38</v>
      </c>
      <c r="BG59" s="51">
        <v>0.31850000000000001</v>
      </c>
      <c r="BH59" s="23" t="s">
        <v>38</v>
      </c>
      <c r="BI59" s="23" t="s">
        <v>38</v>
      </c>
      <c r="BJ59" s="23" t="s">
        <v>38</v>
      </c>
      <c r="BK59" s="23" t="s">
        <v>38</v>
      </c>
      <c r="BL59" s="23" t="s">
        <v>38</v>
      </c>
      <c r="BM59" s="23" t="s">
        <v>38</v>
      </c>
      <c r="BN59" s="23" t="s">
        <v>38</v>
      </c>
      <c r="BO59" s="23" t="s">
        <v>38</v>
      </c>
      <c r="BP59" s="23" t="s">
        <v>38</v>
      </c>
      <c r="BQ59" s="23" t="s">
        <v>38</v>
      </c>
      <c r="BR59" s="23" t="s">
        <v>38</v>
      </c>
      <c r="BS59" s="23" t="s">
        <v>38</v>
      </c>
      <c r="BT59" s="23" t="s">
        <v>38</v>
      </c>
      <c r="BU59" s="23" t="s">
        <v>38</v>
      </c>
      <c r="BV59" s="23" t="s">
        <v>38</v>
      </c>
      <c r="BW59" s="23" t="s">
        <v>38</v>
      </c>
      <c r="BX59" s="23" t="s">
        <v>38</v>
      </c>
      <c r="BY59" s="69" t="s">
        <v>38</v>
      </c>
      <c r="BZ59" s="69" t="s">
        <v>38</v>
      </c>
      <c r="CA59" s="86" t="s">
        <v>38</v>
      </c>
    </row>
    <row r="60" spans="1:79">
      <c r="A60" s="21">
        <v>51</v>
      </c>
      <c r="B60" s="82">
        <v>254457.91333000001</v>
      </c>
      <c r="C60" s="82">
        <v>4505621.1563900001</v>
      </c>
      <c r="D60" s="19">
        <v>0.26200000000000001</v>
      </c>
      <c r="E60" s="19">
        <v>0.2235</v>
      </c>
      <c r="F60" s="19" t="s">
        <v>38</v>
      </c>
      <c r="G60" s="19">
        <v>0.23799999999999999</v>
      </c>
      <c r="H60" s="19">
        <v>0.23149999999999998</v>
      </c>
      <c r="I60" s="19">
        <v>0.2175</v>
      </c>
      <c r="J60" s="19">
        <v>0.19850000000000001</v>
      </c>
      <c r="K60" s="19">
        <v>0.14749999999999999</v>
      </c>
      <c r="L60" s="19" t="s">
        <v>38</v>
      </c>
      <c r="M60" s="19" t="s">
        <v>38</v>
      </c>
      <c r="N60" s="23" t="s">
        <v>38</v>
      </c>
      <c r="O60" s="23" t="s">
        <v>38</v>
      </c>
      <c r="P60" s="23" t="s">
        <v>38</v>
      </c>
      <c r="Q60" s="23" t="s">
        <v>38</v>
      </c>
      <c r="R60" s="23" t="s">
        <v>38</v>
      </c>
      <c r="S60" s="23" t="s">
        <v>38</v>
      </c>
      <c r="T60" s="51">
        <v>0.26</v>
      </c>
      <c r="U60" s="51">
        <v>0.23699999999999999</v>
      </c>
      <c r="V60" s="23" t="s">
        <v>38</v>
      </c>
      <c r="W60" s="51">
        <v>0.25800000000000001</v>
      </c>
      <c r="X60" s="51">
        <v>0.26200000000000001</v>
      </c>
      <c r="Y60" s="51">
        <v>0.26300000000000001</v>
      </c>
      <c r="Z60" s="51">
        <v>0.251</v>
      </c>
      <c r="AA60" s="51">
        <v>0.246</v>
      </c>
      <c r="AB60" s="51">
        <v>0.26700000000000002</v>
      </c>
      <c r="AC60" s="51">
        <v>0.23699999999999999</v>
      </c>
      <c r="AD60" s="51">
        <v>0.25600000000000001</v>
      </c>
      <c r="AE60" s="51">
        <v>0.23200000000000001</v>
      </c>
      <c r="AF60" s="51">
        <v>0.215</v>
      </c>
      <c r="AG60" s="51">
        <v>0.214</v>
      </c>
      <c r="AH60" s="51">
        <v>0.21199999999999999</v>
      </c>
      <c r="AI60" s="51">
        <v>0.183</v>
      </c>
      <c r="AJ60" s="51">
        <v>0.192</v>
      </c>
      <c r="AK60" s="51">
        <v>0.17599999999999999</v>
      </c>
      <c r="AL60" s="51">
        <v>0.23599999999999999</v>
      </c>
      <c r="AM60" s="51">
        <v>0.29799999999999999</v>
      </c>
      <c r="AN60" s="51">
        <v>0.20599999999999999</v>
      </c>
      <c r="AO60" s="51">
        <v>0.161</v>
      </c>
      <c r="AP60" s="51">
        <v>0.25</v>
      </c>
      <c r="AQ60" s="51">
        <v>0.22900000000000001</v>
      </c>
      <c r="AR60" s="51">
        <v>0.219</v>
      </c>
      <c r="AS60" s="51">
        <v>0.21299999999999999</v>
      </c>
      <c r="AT60" s="51">
        <v>0.22500000000000001</v>
      </c>
      <c r="AU60" s="51">
        <v>0.215</v>
      </c>
      <c r="AV60" s="51">
        <v>0.20499999999999999</v>
      </c>
      <c r="AW60" s="51">
        <v>0.16900000000000001</v>
      </c>
      <c r="AX60" s="51">
        <v>0.18</v>
      </c>
      <c r="AY60" s="51">
        <v>0.22600000000000001</v>
      </c>
      <c r="AZ60" s="51">
        <v>0.217</v>
      </c>
      <c r="BA60" s="51">
        <v>0.189</v>
      </c>
      <c r="BB60" s="52">
        <v>0.18099999999999999</v>
      </c>
      <c r="BC60" s="51">
        <v>0.22950000000000001</v>
      </c>
      <c r="BD60" s="53">
        <v>0.27549999999999997</v>
      </c>
      <c r="BE60" s="53">
        <v>0.23</v>
      </c>
      <c r="BF60" s="53">
        <v>0.17199999999999999</v>
      </c>
      <c r="BG60" s="51">
        <v>0.251</v>
      </c>
      <c r="BH60" s="38">
        <v>0.20949999999999999</v>
      </c>
      <c r="BI60" s="38">
        <v>0.23449999999999999</v>
      </c>
      <c r="BJ60" s="38">
        <v>0.23149999999999998</v>
      </c>
      <c r="BK60" s="38">
        <v>0.2215</v>
      </c>
      <c r="BL60" s="38">
        <v>0.22600000000000001</v>
      </c>
      <c r="BM60" s="38">
        <v>0.22650000000000001</v>
      </c>
      <c r="BN60" s="51">
        <v>0.22800000000000001</v>
      </c>
      <c r="BO60" s="51">
        <v>0.248</v>
      </c>
      <c r="BP60" s="38">
        <v>0.21199999999999999</v>
      </c>
      <c r="BQ60" s="38">
        <v>0.19550000000000001</v>
      </c>
      <c r="BR60" s="56">
        <v>0.20499999999999999</v>
      </c>
      <c r="BS60" s="56">
        <v>0.19350000000000001</v>
      </c>
      <c r="BT60" s="56">
        <v>0.20150000000000001</v>
      </c>
      <c r="BU60" s="42">
        <v>0.20100000000000001</v>
      </c>
      <c r="BV60" s="56">
        <v>0.1915</v>
      </c>
      <c r="BW60" s="42" t="s">
        <v>38</v>
      </c>
      <c r="BX60" s="42" t="s">
        <v>38</v>
      </c>
      <c r="BY60" s="85">
        <f>(0.268+0.266)/2</f>
        <v>0.26700000000000002</v>
      </c>
      <c r="BZ60" s="85">
        <f>(0.35+0.341)/2</f>
        <v>0.34550000000000003</v>
      </c>
      <c r="CA60" s="86">
        <v>0.26800000000000002</v>
      </c>
    </row>
    <row r="61" spans="1:79">
      <c r="A61" s="21" t="s">
        <v>14</v>
      </c>
      <c r="B61" s="82">
        <v>254459.08399399999</v>
      </c>
      <c r="C61" s="82">
        <v>4505622.0498400005</v>
      </c>
      <c r="D61" s="19">
        <v>0.19900000000000001</v>
      </c>
      <c r="E61" s="19">
        <v>0.26</v>
      </c>
      <c r="F61" s="19">
        <v>0.24</v>
      </c>
      <c r="G61" s="19">
        <v>0.20300000000000001</v>
      </c>
      <c r="H61" s="19">
        <v>0.21550000000000002</v>
      </c>
      <c r="I61" s="19">
        <v>0.22549999999999998</v>
      </c>
      <c r="J61" s="19">
        <v>0.13850000000000001</v>
      </c>
      <c r="K61" s="19">
        <v>0.17149999999999999</v>
      </c>
      <c r="L61" s="19">
        <v>0.12</v>
      </c>
      <c r="M61" s="19">
        <v>0.129</v>
      </c>
      <c r="N61" s="16">
        <v>0.20849999999999999</v>
      </c>
      <c r="O61" s="16">
        <v>0.14700000000000002</v>
      </c>
      <c r="P61" s="16">
        <v>0.13700000000000001</v>
      </c>
      <c r="Q61" s="16">
        <v>0.14949999999999999</v>
      </c>
      <c r="R61" s="16">
        <v>0.11649999999999999</v>
      </c>
      <c r="S61" s="16">
        <v>0.224</v>
      </c>
      <c r="T61" s="51">
        <v>0.23100000000000001</v>
      </c>
      <c r="U61" s="51">
        <v>0.22500000000000001</v>
      </c>
      <c r="V61" s="23" t="s">
        <v>38</v>
      </c>
      <c r="W61" s="51">
        <v>0.188</v>
      </c>
      <c r="X61" s="51">
        <v>0.23</v>
      </c>
      <c r="Y61" s="51" t="s">
        <v>38</v>
      </c>
      <c r="Z61" s="51">
        <v>0.24099999999999999</v>
      </c>
      <c r="AA61" s="51">
        <v>0.22500000000000001</v>
      </c>
      <c r="AB61" s="51" t="s">
        <v>38</v>
      </c>
      <c r="AC61" s="51">
        <v>0.307</v>
      </c>
      <c r="AD61" s="51">
        <v>0.20699999999999999</v>
      </c>
      <c r="AE61" s="51" t="s">
        <v>38</v>
      </c>
      <c r="AF61" s="51">
        <v>0.17599999999999999</v>
      </c>
      <c r="AG61" s="51">
        <v>0.156</v>
      </c>
      <c r="AH61" s="51">
        <v>0.14599999999999999</v>
      </c>
      <c r="AI61" s="51" t="s">
        <v>38</v>
      </c>
      <c r="AJ61" s="51" t="s">
        <v>38</v>
      </c>
      <c r="AK61" s="51">
        <v>0.14699999999999999</v>
      </c>
      <c r="AL61" s="51">
        <v>0.13500000000000001</v>
      </c>
      <c r="AM61" s="51">
        <v>0.19900000000000001</v>
      </c>
      <c r="AN61" s="51">
        <v>0.154</v>
      </c>
      <c r="AO61" s="51" t="s">
        <v>38</v>
      </c>
      <c r="AP61" s="51" t="s">
        <v>38</v>
      </c>
      <c r="AQ61" s="51">
        <v>0.13400000000000001</v>
      </c>
      <c r="AR61" s="51" t="s">
        <v>38</v>
      </c>
      <c r="AS61" s="51">
        <v>0.21299999999999999</v>
      </c>
      <c r="AT61" s="51" t="s">
        <v>38</v>
      </c>
      <c r="AU61" s="51">
        <v>0.17599999999999999</v>
      </c>
      <c r="AV61" s="51" t="s">
        <v>38</v>
      </c>
      <c r="AW61" s="51" t="s">
        <v>38</v>
      </c>
      <c r="AX61" s="51" t="s">
        <v>38</v>
      </c>
      <c r="AY61" s="51">
        <v>0.30299999999999999</v>
      </c>
      <c r="AZ61" s="51">
        <v>0.26900000000000002</v>
      </c>
      <c r="BA61" s="51">
        <v>0.26800000000000002</v>
      </c>
      <c r="BB61" s="52">
        <v>0.17249999999999999</v>
      </c>
      <c r="BC61" s="51">
        <v>0.20300000000000001</v>
      </c>
      <c r="BD61" s="53">
        <v>0.1825</v>
      </c>
      <c r="BE61" s="53">
        <v>0.17699999999999999</v>
      </c>
      <c r="BF61" s="53">
        <v>0.10400000000000001</v>
      </c>
      <c r="BG61" s="51">
        <v>0.17599999999999999</v>
      </c>
      <c r="BH61" s="38" t="s">
        <v>38</v>
      </c>
      <c r="BI61" s="38" t="s">
        <v>38</v>
      </c>
      <c r="BJ61" s="38" t="s">
        <v>38</v>
      </c>
      <c r="BK61" s="38">
        <v>0.26600000000000001</v>
      </c>
      <c r="BL61" s="38" t="s">
        <v>38</v>
      </c>
      <c r="BM61" s="38" t="s">
        <v>38</v>
      </c>
      <c r="BN61" s="38" t="s">
        <v>38</v>
      </c>
      <c r="BO61" s="38" t="s">
        <v>38</v>
      </c>
      <c r="BP61" s="38" t="s">
        <v>38</v>
      </c>
      <c r="BQ61" s="38">
        <v>0.13950000000000001</v>
      </c>
      <c r="BR61" s="56">
        <v>0.159</v>
      </c>
      <c r="BS61" s="56">
        <v>0.152</v>
      </c>
      <c r="BT61" s="56">
        <v>0.13200000000000001</v>
      </c>
      <c r="BU61" s="42">
        <v>0.14000000000000001</v>
      </c>
      <c r="BV61" s="56" t="s">
        <v>38</v>
      </c>
      <c r="BW61" s="42">
        <v>0.214</v>
      </c>
      <c r="BX61" s="42" t="s">
        <v>38</v>
      </c>
      <c r="BY61" s="85">
        <f>(0.309+0.374)/2</f>
        <v>0.34150000000000003</v>
      </c>
      <c r="BZ61" s="85">
        <f>(0.357+0.25)/2</f>
        <v>0.30349999999999999</v>
      </c>
      <c r="CA61" s="86">
        <v>0.496</v>
      </c>
    </row>
    <row r="62" spans="1:79">
      <c r="A62" s="21" t="s">
        <v>15</v>
      </c>
      <c r="B62" s="82">
        <v>254458.677084</v>
      </c>
      <c r="C62" s="82">
        <v>4505620.2194800004</v>
      </c>
      <c r="D62" s="19">
        <v>0.28699999999999998</v>
      </c>
      <c r="E62" s="19">
        <v>0.26850000000000002</v>
      </c>
      <c r="F62" s="19">
        <v>0.28549999999999998</v>
      </c>
      <c r="G62" s="19">
        <v>0.29249999999999998</v>
      </c>
      <c r="H62" s="19">
        <v>0.28849999999999998</v>
      </c>
      <c r="I62" s="19">
        <v>0.252</v>
      </c>
      <c r="J62" s="19">
        <v>0.219</v>
      </c>
      <c r="K62" s="19">
        <v>0.17949999999999999</v>
      </c>
      <c r="L62" s="19">
        <v>0.2485</v>
      </c>
      <c r="M62" s="19">
        <v>0.183</v>
      </c>
      <c r="N62" s="16">
        <v>0.183</v>
      </c>
      <c r="O62" s="16">
        <v>0.156</v>
      </c>
      <c r="P62" s="23" t="s">
        <v>38</v>
      </c>
      <c r="Q62" s="16">
        <v>0.23250000000000001</v>
      </c>
      <c r="R62" s="23" t="s">
        <v>38</v>
      </c>
      <c r="S62" s="23" t="s">
        <v>38</v>
      </c>
      <c r="T62" s="51">
        <v>0.30499999999999999</v>
      </c>
      <c r="U62" s="51">
        <v>0.34</v>
      </c>
      <c r="V62" s="23" t="s">
        <v>38</v>
      </c>
      <c r="W62" s="51">
        <v>0.40300000000000002</v>
      </c>
      <c r="X62" s="51">
        <v>0.31</v>
      </c>
      <c r="Y62" s="51" t="s">
        <v>38</v>
      </c>
      <c r="Z62" s="51">
        <v>0.318</v>
      </c>
      <c r="AA62" s="51">
        <v>0.33500000000000002</v>
      </c>
      <c r="AB62" s="51" t="s">
        <v>38</v>
      </c>
      <c r="AC62" s="51">
        <v>0.33900000000000002</v>
      </c>
      <c r="AD62" s="51">
        <v>0.32700000000000001</v>
      </c>
      <c r="AE62" s="51" t="s">
        <v>38</v>
      </c>
      <c r="AF62" s="51">
        <v>0.22900000000000001</v>
      </c>
      <c r="AG62" s="51">
        <v>0.23300000000000001</v>
      </c>
      <c r="AH62" s="51">
        <v>0.20399999999999999</v>
      </c>
      <c r="AI62" s="51" t="s">
        <v>38</v>
      </c>
      <c r="AJ62" s="51" t="s">
        <v>38</v>
      </c>
      <c r="AK62" s="51" t="s">
        <v>38</v>
      </c>
      <c r="AL62" s="51">
        <v>0.36499999999999999</v>
      </c>
      <c r="AM62" s="51">
        <v>0.38200000000000001</v>
      </c>
      <c r="AN62" s="51">
        <v>0.23599999999999999</v>
      </c>
      <c r="AO62" s="51" t="s">
        <v>38</v>
      </c>
      <c r="AP62" s="51" t="s">
        <v>38</v>
      </c>
      <c r="AQ62" s="51">
        <v>0.28000000000000003</v>
      </c>
      <c r="AR62" s="51" t="s">
        <v>38</v>
      </c>
      <c r="AS62" s="51">
        <v>0.245</v>
      </c>
      <c r="AT62" s="51" t="s">
        <v>38</v>
      </c>
      <c r="AU62" s="51">
        <v>0.218</v>
      </c>
      <c r="AV62" s="51" t="s">
        <v>38</v>
      </c>
      <c r="AW62" s="51" t="s">
        <v>38</v>
      </c>
      <c r="AX62" s="51" t="s">
        <v>38</v>
      </c>
      <c r="AY62" s="51">
        <v>0.253</v>
      </c>
      <c r="AZ62" s="51">
        <v>0.25900000000000001</v>
      </c>
      <c r="BA62" s="51">
        <v>0.28499999999999998</v>
      </c>
      <c r="BB62" s="52">
        <v>0.20850000000000002</v>
      </c>
      <c r="BC62" s="51">
        <v>0.24399999999999999</v>
      </c>
      <c r="BD62" s="53">
        <v>0.3175</v>
      </c>
      <c r="BE62" s="53">
        <v>0.30299999999999999</v>
      </c>
      <c r="BF62" s="53">
        <v>0.22700000000000001</v>
      </c>
      <c r="BG62" s="51">
        <v>0.32450000000000001</v>
      </c>
      <c r="BH62" s="38" t="s">
        <v>38</v>
      </c>
      <c r="BI62" s="38" t="s">
        <v>38</v>
      </c>
      <c r="BJ62" s="38" t="s">
        <v>38</v>
      </c>
      <c r="BK62" s="38">
        <v>0.30499999999999999</v>
      </c>
      <c r="BL62" s="38" t="s">
        <v>38</v>
      </c>
      <c r="BM62" s="38" t="s">
        <v>38</v>
      </c>
      <c r="BN62" s="38" t="s">
        <v>38</v>
      </c>
      <c r="BO62" s="38" t="s">
        <v>38</v>
      </c>
      <c r="BP62" s="38" t="s">
        <v>38</v>
      </c>
      <c r="BQ62" s="38">
        <v>0.21350000000000002</v>
      </c>
      <c r="BR62" s="56">
        <v>0.222</v>
      </c>
      <c r="BS62" s="56">
        <v>0.2215</v>
      </c>
      <c r="BT62" s="56">
        <v>0.19550000000000001</v>
      </c>
      <c r="BU62" s="42">
        <v>0.26100000000000001</v>
      </c>
      <c r="BV62" s="56" t="s">
        <v>38</v>
      </c>
      <c r="BW62" s="56" t="s">
        <v>38</v>
      </c>
      <c r="BX62" s="56" t="s">
        <v>38</v>
      </c>
      <c r="BY62" s="85">
        <v>0.312</v>
      </c>
      <c r="BZ62" s="85">
        <f>(0.385+0.423)/2</f>
        <v>0.40400000000000003</v>
      </c>
      <c r="CA62" s="86">
        <v>0.29699999999999999</v>
      </c>
    </row>
    <row r="63" spans="1:79">
      <c r="A63" s="21" t="s">
        <v>16</v>
      </c>
      <c r="B63" s="82">
        <v>254456.72850500001</v>
      </c>
      <c r="C63" s="82">
        <v>4505620.3603600003</v>
      </c>
      <c r="D63" s="19">
        <v>0.27650000000000002</v>
      </c>
      <c r="E63" s="19">
        <v>0.30649999999999999</v>
      </c>
      <c r="F63" s="19">
        <v>0.32650000000000001</v>
      </c>
      <c r="G63" s="19">
        <v>0.29549999999999998</v>
      </c>
      <c r="H63" s="19">
        <v>0.28700000000000003</v>
      </c>
      <c r="I63" s="19">
        <v>0.2495</v>
      </c>
      <c r="J63" s="19">
        <v>0.1915</v>
      </c>
      <c r="K63" s="19">
        <v>0.16799999999999998</v>
      </c>
      <c r="L63" s="19">
        <v>0.20800000000000002</v>
      </c>
      <c r="M63" s="19">
        <v>0.16500000000000001</v>
      </c>
      <c r="N63" s="16">
        <v>0.21299999999999999</v>
      </c>
      <c r="O63" s="16">
        <v>0.1565</v>
      </c>
      <c r="P63" s="23" t="s">
        <v>38</v>
      </c>
      <c r="Q63" s="16">
        <v>0.223</v>
      </c>
      <c r="R63" s="23" t="s">
        <v>38</v>
      </c>
      <c r="S63" s="23" t="s">
        <v>38</v>
      </c>
      <c r="T63" s="51">
        <v>0.26</v>
      </c>
      <c r="U63" s="51">
        <v>0.33200000000000002</v>
      </c>
      <c r="V63" s="23" t="s">
        <v>38</v>
      </c>
      <c r="W63" s="51">
        <v>0.38</v>
      </c>
      <c r="X63" s="51">
        <v>0.308</v>
      </c>
      <c r="Y63" s="51" t="s">
        <v>38</v>
      </c>
      <c r="Z63" s="51">
        <v>0.318</v>
      </c>
      <c r="AA63" s="51">
        <v>0.33600000000000002</v>
      </c>
      <c r="AB63" s="51" t="s">
        <v>38</v>
      </c>
      <c r="AC63" s="51">
        <v>0.29499999999999998</v>
      </c>
      <c r="AD63" s="51">
        <v>0.309</v>
      </c>
      <c r="AE63" s="51" t="s">
        <v>38</v>
      </c>
      <c r="AF63" s="51">
        <v>0.189</v>
      </c>
      <c r="AG63" s="51">
        <v>0.215</v>
      </c>
      <c r="AH63" s="51">
        <v>0.20499999999999999</v>
      </c>
      <c r="AI63" s="51" t="s">
        <v>38</v>
      </c>
      <c r="AJ63" s="51" t="s">
        <v>38</v>
      </c>
      <c r="AK63" s="51">
        <v>0.17599999999999999</v>
      </c>
      <c r="AL63" s="51">
        <v>0.224</v>
      </c>
      <c r="AM63" s="51">
        <v>0.311</v>
      </c>
      <c r="AN63" s="51">
        <v>0.27100000000000002</v>
      </c>
      <c r="AO63" s="51" t="s">
        <v>38</v>
      </c>
      <c r="AP63" s="51" t="s">
        <v>38</v>
      </c>
      <c r="AQ63" s="51">
        <v>0.23799999999999999</v>
      </c>
      <c r="AR63" s="51" t="s">
        <v>38</v>
      </c>
      <c r="AS63" s="51">
        <v>0.23499999999999999</v>
      </c>
      <c r="AT63" s="51" t="s">
        <v>38</v>
      </c>
      <c r="AU63" s="51">
        <v>0.20799999999999999</v>
      </c>
      <c r="AV63" s="51" t="s">
        <v>38</v>
      </c>
      <c r="AW63" s="51" t="s">
        <v>38</v>
      </c>
      <c r="AX63" s="51" t="s">
        <v>38</v>
      </c>
      <c r="AY63" s="51">
        <v>0.25600000000000001</v>
      </c>
      <c r="AZ63" s="51">
        <v>0.245</v>
      </c>
      <c r="BA63" s="51">
        <v>0.27200000000000002</v>
      </c>
      <c r="BB63" s="52">
        <v>0.2465</v>
      </c>
      <c r="BC63" s="51">
        <v>0.23</v>
      </c>
      <c r="BD63" s="53">
        <v>0.30649999999999999</v>
      </c>
      <c r="BE63" s="53">
        <v>0.30049999999999999</v>
      </c>
      <c r="BF63" s="53">
        <v>0.23549999999999999</v>
      </c>
      <c r="BG63" s="51">
        <v>0.29900000000000004</v>
      </c>
      <c r="BH63" s="38" t="s">
        <v>38</v>
      </c>
      <c r="BI63" s="38" t="s">
        <v>38</v>
      </c>
      <c r="BJ63" s="38" t="s">
        <v>38</v>
      </c>
      <c r="BK63" s="38">
        <v>0.26350000000000001</v>
      </c>
      <c r="BL63" s="38" t="s">
        <v>38</v>
      </c>
      <c r="BM63" s="38" t="s">
        <v>38</v>
      </c>
      <c r="BN63" s="38" t="s">
        <v>38</v>
      </c>
      <c r="BO63" s="38" t="s">
        <v>38</v>
      </c>
      <c r="BP63" s="38" t="s">
        <v>38</v>
      </c>
      <c r="BQ63" s="38">
        <v>0.19650000000000001</v>
      </c>
      <c r="BR63" s="56">
        <v>0.20650000000000002</v>
      </c>
      <c r="BS63" s="56">
        <v>0.20450000000000002</v>
      </c>
      <c r="BT63" s="56">
        <v>0.20949999999999999</v>
      </c>
      <c r="BU63" s="42">
        <v>0.2195</v>
      </c>
      <c r="BV63" s="56" t="s">
        <v>38</v>
      </c>
      <c r="BW63" s="56" t="s">
        <v>38</v>
      </c>
      <c r="BX63" s="56" t="s">
        <v>38</v>
      </c>
      <c r="BY63" s="85">
        <f>(0.336+0.326)/2</f>
        <v>0.33100000000000002</v>
      </c>
      <c r="BZ63" s="85">
        <f>(0.439+0.417)/2</f>
        <v>0.42799999999999999</v>
      </c>
      <c r="CA63" s="86">
        <v>0.29599999999999999</v>
      </c>
    </row>
    <row r="64" spans="1:79">
      <c r="A64" s="21" t="s">
        <v>17</v>
      </c>
      <c r="B64" s="82">
        <v>254457.14039799999</v>
      </c>
      <c r="C64" s="82">
        <v>4505622.2859399999</v>
      </c>
      <c r="D64" s="19">
        <v>0.29949999999999999</v>
      </c>
      <c r="E64" s="19">
        <v>0.252</v>
      </c>
      <c r="F64" s="19">
        <v>0.3075</v>
      </c>
      <c r="G64" s="19">
        <v>0.30199999999999999</v>
      </c>
      <c r="H64" s="19">
        <v>0.28549999999999998</v>
      </c>
      <c r="I64" s="19">
        <v>0.23599999999999999</v>
      </c>
      <c r="J64" s="19">
        <v>0.17249999999999999</v>
      </c>
      <c r="K64" s="19">
        <v>0.183</v>
      </c>
      <c r="L64" s="19">
        <v>0.2235</v>
      </c>
      <c r="M64" s="19">
        <v>0.17049999999999998</v>
      </c>
      <c r="N64" s="16">
        <v>0.23899999999999999</v>
      </c>
      <c r="O64" s="16">
        <v>0.157</v>
      </c>
      <c r="P64" s="23" t="s">
        <v>38</v>
      </c>
      <c r="Q64" s="16">
        <v>0.2525</v>
      </c>
      <c r="R64" s="23" t="s">
        <v>38</v>
      </c>
      <c r="S64" s="23" t="s">
        <v>38</v>
      </c>
      <c r="T64" s="51">
        <v>0.26900000000000002</v>
      </c>
      <c r="U64" s="51">
        <v>0.32300000000000001</v>
      </c>
      <c r="V64" s="23" t="s">
        <v>38</v>
      </c>
      <c r="W64" s="51">
        <v>0.33700000000000002</v>
      </c>
      <c r="X64" s="51">
        <v>0.317</v>
      </c>
      <c r="Y64" s="51" t="s">
        <v>38</v>
      </c>
      <c r="Z64" s="51">
        <v>0.315</v>
      </c>
      <c r="AA64" s="51">
        <v>0.33</v>
      </c>
      <c r="AB64" s="51" t="s">
        <v>38</v>
      </c>
      <c r="AC64" s="51">
        <v>0.307</v>
      </c>
      <c r="AD64" s="51">
        <v>0.27700000000000002</v>
      </c>
      <c r="AE64" s="51" t="s">
        <v>38</v>
      </c>
      <c r="AF64" s="51">
        <v>0.26100000000000001</v>
      </c>
      <c r="AG64" s="51">
        <v>0.19900000000000001</v>
      </c>
      <c r="AH64" s="51">
        <v>0.19700000000000001</v>
      </c>
      <c r="AI64" s="51" t="s">
        <v>38</v>
      </c>
      <c r="AJ64" s="51" t="s">
        <v>38</v>
      </c>
      <c r="AK64" s="51">
        <v>0.188</v>
      </c>
      <c r="AL64" s="51">
        <v>0.27500000000000002</v>
      </c>
      <c r="AM64" s="51">
        <v>0.29899999999999999</v>
      </c>
      <c r="AN64" s="51">
        <v>0.23699999999999999</v>
      </c>
      <c r="AO64" s="51" t="s">
        <v>38</v>
      </c>
      <c r="AP64" s="51" t="s">
        <v>38</v>
      </c>
      <c r="AQ64" s="51">
        <v>0.28100000000000003</v>
      </c>
      <c r="AR64" s="51" t="s">
        <v>38</v>
      </c>
      <c r="AS64" s="51">
        <v>0.23400000000000001</v>
      </c>
      <c r="AT64" s="51" t="s">
        <v>38</v>
      </c>
      <c r="AU64" s="51">
        <v>0.19900000000000001</v>
      </c>
      <c r="AV64" s="51" t="s">
        <v>38</v>
      </c>
      <c r="AW64" s="51" t="s">
        <v>38</v>
      </c>
      <c r="AX64" s="51" t="s">
        <v>38</v>
      </c>
      <c r="AY64" s="51">
        <v>0.19500000000000001</v>
      </c>
      <c r="AZ64" s="51">
        <v>0.192</v>
      </c>
      <c r="BA64" s="51">
        <v>0.19500000000000001</v>
      </c>
      <c r="BB64" s="52">
        <v>0.19750000000000001</v>
      </c>
      <c r="BC64" s="51">
        <v>0.22950000000000001</v>
      </c>
      <c r="BD64" s="53">
        <v>0.32850000000000001</v>
      </c>
      <c r="BE64" s="53">
        <v>0.27400000000000002</v>
      </c>
      <c r="BF64" s="53">
        <v>0.18149999999999999</v>
      </c>
      <c r="BG64" s="51">
        <v>0.28700000000000003</v>
      </c>
      <c r="BH64" s="38" t="s">
        <v>38</v>
      </c>
      <c r="BI64" s="38" t="s">
        <v>38</v>
      </c>
      <c r="BJ64" s="38" t="s">
        <v>38</v>
      </c>
      <c r="BK64" s="38">
        <v>0.28249999999999997</v>
      </c>
      <c r="BL64" s="38" t="s">
        <v>38</v>
      </c>
      <c r="BM64" s="38" t="s">
        <v>38</v>
      </c>
      <c r="BN64" s="38" t="s">
        <v>38</v>
      </c>
      <c r="BO64" s="38" t="s">
        <v>38</v>
      </c>
      <c r="BP64" s="38" t="s">
        <v>38</v>
      </c>
      <c r="BQ64" s="38">
        <v>0.19750000000000001</v>
      </c>
      <c r="BR64" s="56">
        <v>0.2485</v>
      </c>
      <c r="BS64" s="56">
        <v>0.21249999999999999</v>
      </c>
      <c r="BT64" s="56">
        <v>0.19950000000000001</v>
      </c>
      <c r="BU64" s="42">
        <v>0.23949999999999999</v>
      </c>
      <c r="BV64" s="56" t="s">
        <v>38</v>
      </c>
      <c r="BW64" s="56" t="s">
        <v>38</v>
      </c>
      <c r="BX64" s="56" t="s">
        <v>38</v>
      </c>
      <c r="BY64" s="85">
        <f>(0.287+0.322)/2</f>
        <v>0.30449999999999999</v>
      </c>
      <c r="BZ64" s="85">
        <f>(0.362+0.342)/2</f>
        <v>0.35199999999999998</v>
      </c>
      <c r="CA64" s="86">
        <v>0.28499999999999998</v>
      </c>
    </row>
    <row r="65" spans="1:79">
      <c r="A65" s="21">
        <v>52</v>
      </c>
      <c r="B65" s="82">
        <v>254458.46923300001</v>
      </c>
      <c r="C65" s="82">
        <v>4505643.4115500003</v>
      </c>
      <c r="D65" s="19">
        <v>0.25650000000000001</v>
      </c>
      <c r="E65" s="19">
        <v>0.25850000000000001</v>
      </c>
      <c r="F65" s="19">
        <v>0.25650000000000001</v>
      </c>
      <c r="G65" s="19">
        <v>0.26</v>
      </c>
      <c r="H65" s="19" t="s">
        <v>38</v>
      </c>
      <c r="I65" s="19">
        <v>0.21049999999999999</v>
      </c>
      <c r="J65" s="19">
        <v>0.183</v>
      </c>
      <c r="K65" s="19">
        <v>0.1585</v>
      </c>
      <c r="L65" s="19">
        <v>0.16750000000000001</v>
      </c>
      <c r="M65" s="19">
        <v>0.14300000000000002</v>
      </c>
      <c r="N65" s="16">
        <v>0.1605</v>
      </c>
      <c r="O65" s="16">
        <v>0.14149999999999999</v>
      </c>
      <c r="P65" s="16">
        <v>0.152</v>
      </c>
      <c r="Q65" s="16">
        <v>0.1885</v>
      </c>
      <c r="R65" s="16">
        <v>0.20600000000000002</v>
      </c>
      <c r="S65" s="16">
        <v>0.20599999999999999</v>
      </c>
      <c r="T65" s="51">
        <v>0.3</v>
      </c>
      <c r="U65" s="51">
        <v>0.28100000000000003</v>
      </c>
      <c r="V65" s="23" t="s">
        <v>38</v>
      </c>
      <c r="W65" s="51">
        <v>0.32200000000000001</v>
      </c>
      <c r="X65" s="51">
        <v>0.30599999999999999</v>
      </c>
      <c r="Y65" s="51">
        <v>0.28899999999999998</v>
      </c>
      <c r="Z65" s="51">
        <v>0.31</v>
      </c>
      <c r="AA65" s="51">
        <v>0.29899999999999999</v>
      </c>
      <c r="AB65" s="51">
        <v>0.313</v>
      </c>
      <c r="AC65" s="51">
        <v>0.29399999999999998</v>
      </c>
      <c r="AD65" s="51">
        <v>0.28699999999999998</v>
      </c>
      <c r="AE65" s="51">
        <v>0.252</v>
      </c>
      <c r="AF65" s="51">
        <v>0.21</v>
      </c>
      <c r="AG65" s="51">
        <v>0.191</v>
      </c>
      <c r="AH65" s="51">
        <v>0.17899999999999999</v>
      </c>
      <c r="AI65" s="51">
        <v>0.183</v>
      </c>
      <c r="AJ65" s="51">
        <v>0.19800000000000001</v>
      </c>
      <c r="AK65" s="51">
        <v>0.18099999999999999</v>
      </c>
      <c r="AL65" s="51">
        <v>0.28699999999999998</v>
      </c>
      <c r="AM65" s="51">
        <v>0.32800000000000001</v>
      </c>
      <c r="AN65" s="51">
        <v>0.245</v>
      </c>
      <c r="AO65" s="51">
        <v>0.20699999999999999</v>
      </c>
      <c r="AP65" s="51">
        <v>0.21099999999999999</v>
      </c>
      <c r="AQ65" s="51">
        <v>0.21099999999999999</v>
      </c>
      <c r="AR65" s="51">
        <v>0.19800000000000001</v>
      </c>
      <c r="AS65" s="51">
        <v>0.2</v>
      </c>
      <c r="AT65" s="51">
        <v>0.19600000000000001</v>
      </c>
      <c r="AU65" s="51">
        <v>0.17899999999999999</v>
      </c>
      <c r="AV65" s="51">
        <v>0.17199999999999999</v>
      </c>
      <c r="AW65" s="51">
        <v>0.157</v>
      </c>
      <c r="AX65" s="51">
        <v>0.14699999999999999</v>
      </c>
      <c r="AY65" s="51">
        <v>0.13300000000000001</v>
      </c>
      <c r="AZ65" s="51">
        <v>0.13800000000000001</v>
      </c>
      <c r="BA65" s="51">
        <v>0.16800000000000001</v>
      </c>
      <c r="BB65" s="52">
        <v>0.152</v>
      </c>
      <c r="BC65" s="51">
        <v>0.19850000000000001</v>
      </c>
      <c r="BD65" s="53">
        <v>0.20300000000000001</v>
      </c>
      <c r="BE65" s="53" t="s">
        <v>38</v>
      </c>
      <c r="BF65" s="54" t="s">
        <v>38</v>
      </c>
      <c r="BG65" s="51">
        <v>0.2555</v>
      </c>
      <c r="BH65" s="38">
        <v>0.23399999999999999</v>
      </c>
      <c r="BI65" s="38">
        <v>0.2525</v>
      </c>
      <c r="BJ65" s="38">
        <v>0.255</v>
      </c>
      <c r="BK65" s="38">
        <v>0.24349999999999999</v>
      </c>
      <c r="BL65" s="38">
        <v>0.24399999999999999</v>
      </c>
      <c r="BM65" s="38">
        <v>0.26250000000000001</v>
      </c>
      <c r="BN65" s="38" t="s">
        <v>38</v>
      </c>
      <c r="BO65" s="51">
        <v>0.26700000000000002</v>
      </c>
      <c r="BP65" s="38">
        <v>0.24349999999999999</v>
      </c>
      <c r="BQ65" s="38">
        <v>0.1915</v>
      </c>
      <c r="BR65" s="56">
        <v>0.20100000000000001</v>
      </c>
      <c r="BS65" s="56">
        <v>0.19500000000000001</v>
      </c>
      <c r="BT65" s="56">
        <v>0.19450000000000001</v>
      </c>
      <c r="BU65" s="42">
        <v>0.183</v>
      </c>
      <c r="BV65" s="56">
        <v>0.17449999999999999</v>
      </c>
      <c r="BW65" s="42">
        <v>0.214</v>
      </c>
      <c r="BX65" s="56" t="s">
        <v>38</v>
      </c>
      <c r="BY65" s="85">
        <f>(0.272+0.283)/2</f>
        <v>0.27749999999999997</v>
      </c>
      <c r="BZ65" s="85">
        <f>(0.367+0.366)/2</f>
        <v>0.36649999999999999</v>
      </c>
      <c r="CA65" s="86">
        <v>0.27550000000000002</v>
      </c>
    </row>
    <row r="66" spans="1:79">
      <c r="A66" s="21">
        <v>53</v>
      </c>
      <c r="B66" s="82">
        <v>254461.35652100001</v>
      </c>
      <c r="C66" s="82">
        <v>4505680.3409799999</v>
      </c>
      <c r="D66" s="19">
        <v>0.26800000000000002</v>
      </c>
      <c r="E66" s="19">
        <v>0.23399999999999999</v>
      </c>
      <c r="F66" s="19">
        <v>0.23749999999999999</v>
      </c>
      <c r="G66" s="19">
        <v>0.245</v>
      </c>
      <c r="H66" s="19">
        <v>0.23699999999999999</v>
      </c>
      <c r="I66" s="19">
        <v>0.16650000000000001</v>
      </c>
      <c r="J66" s="19">
        <v>0.14549999999999999</v>
      </c>
      <c r="K66" s="19">
        <v>0.11600000000000001</v>
      </c>
      <c r="L66" s="19" t="s">
        <v>38</v>
      </c>
      <c r="M66" s="19" t="s">
        <v>38</v>
      </c>
      <c r="N66" s="23" t="s">
        <v>38</v>
      </c>
      <c r="O66" s="23" t="s">
        <v>38</v>
      </c>
      <c r="P66" s="23" t="s">
        <v>38</v>
      </c>
      <c r="Q66" s="23" t="s">
        <v>38</v>
      </c>
      <c r="R66" s="23" t="s">
        <v>38</v>
      </c>
      <c r="S66" s="23" t="s">
        <v>38</v>
      </c>
      <c r="T66" s="51">
        <v>0.307</v>
      </c>
      <c r="U66" s="51">
        <v>0.249</v>
      </c>
      <c r="V66" s="51">
        <v>0.26400000000000001</v>
      </c>
      <c r="W66" s="51">
        <v>0.27800000000000002</v>
      </c>
      <c r="X66" s="51">
        <v>0.251</v>
      </c>
      <c r="Y66" s="51">
        <v>0.24</v>
      </c>
      <c r="Z66" s="51">
        <v>0.27700000000000002</v>
      </c>
      <c r="AA66" s="51">
        <v>0.27</v>
      </c>
      <c r="AB66" s="51">
        <v>0.28399999999999997</v>
      </c>
      <c r="AC66" s="51">
        <v>0.251</v>
      </c>
      <c r="AD66" s="51">
        <v>0.222</v>
      </c>
      <c r="AE66" s="51">
        <v>0.19600000000000001</v>
      </c>
      <c r="AF66" s="51">
        <v>0.159</v>
      </c>
      <c r="AG66" s="51">
        <v>0.155</v>
      </c>
      <c r="AH66" s="51">
        <v>0.124</v>
      </c>
      <c r="AI66" s="51">
        <v>0.15</v>
      </c>
      <c r="AJ66" s="51">
        <v>0.14099999999999999</v>
      </c>
      <c r="AK66" s="51">
        <v>0.13900000000000001</v>
      </c>
      <c r="AL66" s="51">
        <v>0.26700000000000002</v>
      </c>
      <c r="AM66" s="51">
        <v>0.311</v>
      </c>
      <c r="AN66" s="51">
        <v>0.20799999999999999</v>
      </c>
      <c r="AO66" s="51">
        <v>0.187</v>
      </c>
      <c r="AP66" s="51">
        <v>0.219</v>
      </c>
      <c r="AQ66" s="51">
        <v>0.17100000000000001</v>
      </c>
      <c r="AR66" s="51">
        <v>0.16600000000000001</v>
      </c>
      <c r="AS66" s="51">
        <v>0.159</v>
      </c>
      <c r="AT66" s="51">
        <v>0.14299999999999999</v>
      </c>
      <c r="AU66" s="51">
        <v>0.129</v>
      </c>
      <c r="AV66" s="51">
        <v>0.127</v>
      </c>
      <c r="AW66" s="51">
        <v>0.14199999999999999</v>
      </c>
      <c r="AX66" s="51">
        <v>0.11799999999999999</v>
      </c>
      <c r="AY66" s="51">
        <v>0.183</v>
      </c>
      <c r="AZ66" s="51">
        <v>0.188</v>
      </c>
      <c r="BA66" s="51">
        <v>0.21</v>
      </c>
      <c r="BB66" s="52">
        <v>0.13700000000000001</v>
      </c>
      <c r="BC66" s="51">
        <v>0.1855</v>
      </c>
      <c r="BD66" s="53">
        <v>0.2</v>
      </c>
      <c r="BE66" s="53" t="s">
        <v>38</v>
      </c>
      <c r="BF66" s="53">
        <v>0.14300000000000002</v>
      </c>
      <c r="BG66" s="51">
        <v>0.24099999999999999</v>
      </c>
      <c r="BH66" s="38">
        <v>0.215</v>
      </c>
      <c r="BI66" s="38">
        <v>0.221</v>
      </c>
      <c r="BJ66" s="38">
        <v>0.23599999999999999</v>
      </c>
      <c r="BK66" s="38">
        <v>0.2155</v>
      </c>
      <c r="BL66" s="38">
        <v>0.219</v>
      </c>
      <c r="BM66" s="38">
        <v>0.23899999999999999</v>
      </c>
      <c r="BN66" s="38" t="s">
        <v>38</v>
      </c>
      <c r="BO66" s="51">
        <v>0.23549999999999999</v>
      </c>
      <c r="BP66" s="38">
        <v>0.21249999999999999</v>
      </c>
      <c r="BQ66" s="38">
        <v>0.14499999999999999</v>
      </c>
      <c r="BR66" s="56">
        <v>0.14699999999999999</v>
      </c>
      <c r="BS66" s="56">
        <v>0.14449999999999999</v>
      </c>
      <c r="BT66" s="56">
        <v>0.14499999999999999</v>
      </c>
      <c r="BU66" s="42">
        <v>0.125</v>
      </c>
      <c r="BV66" s="56">
        <v>0.1285</v>
      </c>
      <c r="BW66" s="42" t="s">
        <v>38</v>
      </c>
      <c r="BX66" s="56" t="s">
        <v>38</v>
      </c>
      <c r="BY66" s="85">
        <f>(0.27+0.286)/2</f>
        <v>0.27800000000000002</v>
      </c>
      <c r="BZ66" s="85">
        <f>(0.341+0.335)/2</f>
        <v>0.33800000000000002</v>
      </c>
      <c r="CA66" s="86">
        <v>0.27250000000000002</v>
      </c>
    </row>
    <row r="67" spans="1:79">
      <c r="A67" s="21" t="s">
        <v>18</v>
      </c>
      <c r="B67" s="82">
        <v>254462.48352099999</v>
      </c>
      <c r="C67" s="82">
        <v>4505680.94594</v>
      </c>
      <c r="D67" s="19">
        <v>0.251</v>
      </c>
      <c r="E67" s="19">
        <v>0.26</v>
      </c>
      <c r="F67" s="19">
        <v>0.2515</v>
      </c>
      <c r="G67" s="19">
        <v>0.2485</v>
      </c>
      <c r="H67" s="19">
        <v>0.2455</v>
      </c>
      <c r="I67" s="19">
        <v>0.17299999999999999</v>
      </c>
      <c r="J67" s="19">
        <v>0.16</v>
      </c>
      <c r="K67" s="19">
        <v>0.13450000000000001</v>
      </c>
      <c r="L67" s="19">
        <v>0.17149999999999999</v>
      </c>
      <c r="M67" s="19">
        <v>0.1215</v>
      </c>
      <c r="N67" s="16">
        <v>0.15049999999999999</v>
      </c>
      <c r="O67" s="16">
        <v>0.1245</v>
      </c>
      <c r="P67" s="23" t="s">
        <v>38</v>
      </c>
      <c r="Q67" s="16">
        <v>0.19650000000000001</v>
      </c>
      <c r="R67" s="23" t="s">
        <v>38</v>
      </c>
      <c r="S67" s="23" t="s">
        <v>38</v>
      </c>
      <c r="T67" s="51" t="s">
        <v>38</v>
      </c>
      <c r="U67" s="51">
        <v>0.249</v>
      </c>
      <c r="V67" s="51">
        <v>0.27100000000000002</v>
      </c>
      <c r="W67" s="51">
        <v>0.27</v>
      </c>
      <c r="X67" s="51">
        <v>0.27300000000000002</v>
      </c>
      <c r="Y67" s="51" t="s">
        <v>38</v>
      </c>
      <c r="Z67" s="51">
        <v>0.27300000000000002</v>
      </c>
      <c r="AA67" s="51">
        <v>0.25900000000000001</v>
      </c>
      <c r="AB67" s="51" t="s">
        <v>38</v>
      </c>
      <c r="AC67" s="51">
        <v>0.26200000000000001</v>
      </c>
      <c r="AD67" s="51">
        <v>0.254</v>
      </c>
      <c r="AE67" s="51" t="s">
        <v>38</v>
      </c>
      <c r="AF67" s="51">
        <v>0.17199999999999999</v>
      </c>
      <c r="AG67" s="51">
        <v>0.17100000000000001</v>
      </c>
      <c r="AH67" s="51">
        <v>0.16500000000000001</v>
      </c>
      <c r="AI67" s="51" t="s">
        <v>38</v>
      </c>
      <c r="AJ67" s="51" t="s">
        <v>38</v>
      </c>
      <c r="AK67" s="51">
        <v>0.157</v>
      </c>
      <c r="AL67" s="51">
        <v>0.21</v>
      </c>
      <c r="AM67" s="51">
        <v>0.26800000000000002</v>
      </c>
      <c r="AN67" s="51">
        <v>0.19900000000000001</v>
      </c>
      <c r="AO67" s="51" t="s">
        <v>38</v>
      </c>
      <c r="AP67" s="51" t="s">
        <v>38</v>
      </c>
      <c r="AQ67" s="51">
        <v>0.185</v>
      </c>
      <c r="AR67" s="51" t="s">
        <v>38</v>
      </c>
      <c r="AS67" s="51">
        <v>0.17100000000000001</v>
      </c>
      <c r="AT67" s="51" t="s">
        <v>38</v>
      </c>
      <c r="AU67" s="51">
        <v>0.16500000000000001</v>
      </c>
      <c r="AV67" s="51" t="s">
        <v>38</v>
      </c>
      <c r="AW67" s="51" t="s">
        <v>38</v>
      </c>
      <c r="AX67" s="51" t="s">
        <v>38</v>
      </c>
      <c r="AY67" s="51">
        <v>0.2</v>
      </c>
      <c r="AZ67" s="51">
        <v>0.16400000000000001</v>
      </c>
      <c r="BA67" s="51">
        <v>0.184</v>
      </c>
      <c r="BB67" s="52">
        <v>0.158</v>
      </c>
      <c r="BC67" s="51">
        <v>0.21099999999999999</v>
      </c>
      <c r="BD67" s="53">
        <v>0.2445</v>
      </c>
      <c r="BE67" s="53" t="s">
        <v>38</v>
      </c>
      <c r="BF67" s="53">
        <v>0.19500000000000001</v>
      </c>
      <c r="BG67" s="51">
        <v>0.2535</v>
      </c>
      <c r="BH67" s="53" t="s">
        <v>38</v>
      </c>
      <c r="BI67" s="53" t="s">
        <v>38</v>
      </c>
      <c r="BJ67" s="53" t="s">
        <v>38</v>
      </c>
      <c r="BK67" s="38">
        <v>0.222</v>
      </c>
      <c r="BL67" s="38" t="s">
        <v>38</v>
      </c>
      <c r="BM67" s="38" t="s">
        <v>38</v>
      </c>
      <c r="BN67" s="38" t="s">
        <v>38</v>
      </c>
      <c r="BO67" s="38" t="s">
        <v>38</v>
      </c>
      <c r="BP67" s="38" t="s">
        <v>38</v>
      </c>
      <c r="BQ67" s="38">
        <v>0.17299999999999999</v>
      </c>
      <c r="BR67" s="56">
        <v>0.17599999999999999</v>
      </c>
      <c r="BS67" s="56">
        <v>0.16850000000000001</v>
      </c>
      <c r="BT67" s="56">
        <v>0.17249999999999999</v>
      </c>
      <c r="BU67" s="42">
        <v>0.1565</v>
      </c>
      <c r="BV67" s="56" t="s">
        <v>38</v>
      </c>
      <c r="BW67" s="42">
        <v>0.19900000000000001</v>
      </c>
      <c r="BX67" s="56" t="s">
        <v>38</v>
      </c>
      <c r="BY67" s="85">
        <f>(0.279+0.28)/2</f>
        <v>0.27950000000000003</v>
      </c>
      <c r="BZ67" s="85">
        <f>(0.356+0.368)/2</f>
        <v>0.36199999999999999</v>
      </c>
      <c r="CA67" s="86">
        <v>0.28199999999999997</v>
      </c>
    </row>
    <row r="68" spans="1:79">
      <c r="A68" s="21" t="s">
        <v>19</v>
      </c>
      <c r="B68" s="82">
        <v>254462.19347299999</v>
      </c>
      <c r="C68" s="82">
        <v>4505679.2486500004</v>
      </c>
      <c r="D68" s="19">
        <v>0.22750000000000001</v>
      </c>
      <c r="E68" s="19">
        <v>0.24</v>
      </c>
      <c r="F68" s="19">
        <v>0.25700000000000001</v>
      </c>
      <c r="G68" s="19">
        <v>0.23799999999999999</v>
      </c>
      <c r="H68" s="19">
        <v>0.252</v>
      </c>
      <c r="I68" s="19">
        <v>0.16349999999999998</v>
      </c>
      <c r="J68" s="19">
        <v>0.13900000000000001</v>
      </c>
      <c r="K68" s="19">
        <v>0.11149999999999999</v>
      </c>
      <c r="L68" s="19">
        <v>0.189</v>
      </c>
      <c r="M68" s="19">
        <v>9.1499999999999998E-2</v>
      </c>
      <c r="N68" s="16">
        <v>0.16250000000000001</v>
      </c>
      <c r="O68" s="16">
        <v>0.1085</v>
      </c>
      <c r="P68" s="23" t="s">
        <v>38</v>
      </c>
      <c r="Q68" s="16">
        <v>0.188</v>
      </c>
      <c r="R68" s="23" t="s">
        <v>38</v>
      </c>
      <c r="S68" s="23" t="s">
        <v>38</v>
      </c>
      <c r="T68" s="51">
        <v>0.193</v>
      </c>
      <c r="U68" s="51">
        <v>0.24199999999999999</v>
      </c>
      <c r="V68" s="51">
        <v>0.26900000000000002</v>
      </c>
      <c r="W68" s="51">
        <v>0.23899999999999999</v>
      </c>
      <c r="X68" s="51">
        <v>0.26700000000000002</v>
      </c>
      <c r="Y68" s="51" t="s">
        <v>38</v>
      </c>
      <c r="Z68" s="51">
        <v>0.26800000000000002</v>
      </c>
      <c r="AA68" s="51">
        <v>0.27700000000000002</v>
      </c>
      <c r="AB68" s="51" t="s">
        <v>38</v>
      </c>
      <c r="AC68" s="51">
        <v>0.26200000000000001</v>
      </c>
      <c r="AD68" s="51">
        <v>0.23799999999999999</v>
      </c>
      <c r="AE68" s="51" t="s">
        <v>38</v>
      </c>
      <c r="AF68" s="51">
        <v>0.161</v>
      </c>
      <c r="AG68" s="51">
        <v>0.13900000000000001</v>
      </c>
      <c r="AH68" s="51">
        <v>0.13800000000000001</v>
      </c>
      <c r="AI68" s="51" t="s">
        <v>38</v>
      </c>
      <c r="AJ68" s="51" t="s">
        <v>38</v>
      </c>
      <c r="AK68" s="51">
        <v>0.13900000000000001</v>
      </c>
      <c r="AL68" s="51">
        <v>0.249</v>
      </c>
      <c r="AM68" s="51">
        <v>0.247</v>
      </c>
      <c r="AN68" s="51">
        <v>0.20899999999999999</v>
      </c>
      <c r="AO68" s="51" t="s">
        <v>38</v>
      </c>
      <c r="AP68" s="51" t="s">
        <v>38</v>
      </c>
      <c r="AQ68" s="51">
        <v>0.16600000000000001</v>
      </c>
      <c r="AR68" s="51" t="s">
        <v>38</v>
      </c>
      <c r="AS68" s="51">
        <v>0.153</v>
      </c>
      <c r="AT68" s="51" t="s">
        <v>38</v>
      </c>
      <c r="AU68" s="51">
        <v>0.13700000000000001</v>
      </c>
      <c r="AV68" s="51" t="s">
        <v>38</v>
      </c>
      <c r="AW68" s="51" t="s">
        <v>38</v>
      </c>
      <c r="AX68" s="51" t="s">
        <v>38</v>
      </c>
      <c r="AY68" s="51">
        <v>0.115</v>
      </c>
      <c r="AZ68" s="51">
        <v>0.14299999999999999</v>
      </c>
      <c r="BA68" s="51">
        <v>0.16500000000000001</v>
      </c>
      <c r="BB68" s="52">
        <v>0.1305</v>
      </c>
      <c r="BC68" s="51">
        <v>0.16750000000000001</v>
      </c>
      <c r="BD68" s="53">
        <v>0.2135</v>
      </c>
      <c r="BE68" s="53" t="s">
        <v>38</v>
      </c>
      <c r="BF68" s="53">
        <v>0.1605</v>
      </c>
      <c r="BG68" s="51">
        <v>0.23799999999999999</v>
      </c>
      <c r="BH68" s="53" t="s">
        <v>38</v>
      </c>
      <c r="BI68" s="53" t="s">
        <v>38</v>
      </c>
      <c r="BJ68" s="53" t="s">
        <v>38</v>
      </c>
      <c r="BK68" s="38">
        <v>0.20200000000000001</v>
      </c>
      <c r="BL68" s="38" t="s">
        <v>38</v>
      </c>
      <c r="BM68" s="38" t="s">
        <v>38</v>
      </c>
      <c r="BN68" s="38" t="s">
        <v>38</v>
      </c>
      <c r="BO68" s="38" t="s">
        <v>38</v>
      </c>
      <c r="BP68" s="38" t="s">
        <v>38</v>
      </c>
      <c r="BQ68" s="38">
        <v>0.153</v>
      </c>
      <c r="BR68" s="56">
        <v>0.151</v>
      </c>
      <c r="BS68" s="56">
        <v>0.14449999999999999</v>
      </c>
      <c r="BT68" s="56">
        <v>0.14300000000000002</v>
      </c>
      <c r="BU68" s="42">
        <v>0.13350000000000001</v>
      </c>
      <c r="BV68" s="56" t="s">
        <v>38</v>
      </c>
      <c r="BW68" s="42" t="s">
        <v>38</v>
      </c>
      <c r="BX68" s="56" t="s">
        <v>38</v>
      </c>
      <c r="BY68" s="85">
        <f>(0.261+0.251)/2</f>
        <v>0.25600000000000001</v>
      </c>
      <c r="BZ68" s="85" t="s">
        <v>38</v>
      </c>
      <c r="CA68" s="86" t="s">
        <v>38</v>
      </c>
    </row>
    <row r="69" spans="1:79">
      <c r="A69" s="21" t="s">
        <v>20</v>
      </c>
      <c r="B69" s="82">
        <v>254460.18427299999</v>
      </c>
      <c r="C69" s="82">
        <v>4505679.29464</v>
      </c>
      <c r="D69" s="19">
        <v>0.17749999999999999</v>
      </c>
      <c r="E69" s="19">
        <v>0.2135</v>
      </c>
      <c r="F69" s="19">
        <v>0.2165</v>
      </c>
      <c r="G69" s="19">
        <v>0.189</v>
      </c>
      <c r="H69" s="19">
        <v>0.20250000000000001</v>
      </c>
      <c r="I69" s="19">
        <v>0.14849999999999999</v>
      </c>
      <c r="J69" s="19">
        <v>0.13500000000000001</v>
      </c>
      <c r="K69" s="19">
        <v>8.6499999999999994E-2</v>
      </c>
      <c r="L69" s="19">
        <v>0.19400000000000001</v>
      </c>
      <c r="M69" s="19">
        <v>8.2000000000000003E-2</v>
      </c>
      <c r="N69" s="16">
        <v>0.1205</v>
      </c>
      <c r="O69" s="16">
        <v>9.1499999999999998E-2</v>
      </c>
      <c r="P69" s="16">
        <v>0.10900000000000001</v>
      </c>
      <c r="Q69" s="16">
        <v>0.124</v>
      </c>
      <c r="R69" s="16">
        <v>0.17899999999999999</v>
      </c>
      <c r="S69" s="16">
        <v>0.21</v>
      </c>
      <c r="T69" s="51">
        <v>0.23100000000000001</v>
      </c>
      <c r="U69" s="51">
        <v>0.19</v>
      </c>
      <c r="V69" s="51">
        <v>0.215</v>
      </c>
      <c r="W69" s="51">
        <v>0.16300000000000001</v>
      </c>
      <c r="X69" s="51">
        <v>0.23400000000000001</v>
      </c>
      <c r="Y69" s="51" t="s">
        <v>38</v>
      </c>
      <c r="Z69" s="51">
        <v>0.21199999999999999</v>
      </c>
      <c r="AA69" s="51">
        <v>0.20599999999999999</v>
      </c>
      <c r="AB69" s="51" t="s">
        <v>38</v>
      </c>
      <c r="AC69" s="51">
        <v>0.19900000000000001</v>
      </c>
      <c r="AD69" s="51">
        <v>0.23</v>
      </c>
      <c r="AE69" s="51" t="s">
        <v>38</v>
      </c>
      <c r="AF69" s="51">
        <v>0.11600000000000001</v>
      </c>
      <c r="AG69" s="51">
        <v>0.111</v>
      </c>
      <c r="AH69" s="51">
        <v>0.157</v>
      </c>
      <c r="AI69" s="51" t="s">
        <v>38</v>
      </c>
      <c r="AJ69" s="51" t="s">
        <v>38</v>
      </c>
      <c r="AK69" s="51">
        <v>0.105</v>
      </c>
      <c r="AL69" s="51">
        <v>0.17199999999999999</v>
      </c>
      <c r="AM69" s="51">
        <v>0.23899999999999999</v>
      </c>
      <c r="AN69" s="51">
        <v>0.17399999999999999</v>
      </c>
      <c r="AO69" s="51" t="s">
        <v>38</v>
      </c>
      <c r="AP69" s="51" t="s">
        <v>38</v>
      </c>
      <c r="AQ69" s="51">
        <v>0.123</v>
      </c>
      <c r="AR69" s="51" t="s">
        <v>38</v>
      </c>
      <c r="AS69" s="51">
        <v>0.14199999999999999</v>
      </c>
      <c r="AT69" s="51" t="s">
        <v>38</v>
      </c>
      <c r="AU69" s="51">
        <v>0.128</v>
      </c>
      <c r="AV69" s="51" t="s">
        <v>38</v>
      </c>
      <c r="AW69" s="51" t="s">
        <v>38</v>
      </c>
      <c r="AX69" s="51" t="s">
        <v>38</v>
      </c>
      <c r="AY69" s="51">
        <v>5.0999999999999997E-2</v>
      </c>
      <c r="AZ69" s="51">
        <v>5.1999999999999998E-2</v>
      </c>
      <c r="BA69" s="51">
        <v>0.03</v>
      </c>
      <c r="BB69" s="52">
        <v>0.115</v>
      </c>
      <c r="BC69" s="51">
        <v>0.17249999999999999</v>
      </c>
      <c r="BD69" s="53">
        <v>0.17299999999999999</v>
      </c>
      <c r="BE69" s="53" t="s">
        <v>38</v>
      </c>
      <c r="BF69" s="53">
        <v>0.16250000000000001</v>
      </c>
      <c r="BG69" s="51">
        <v>0.17949999999999999</v>
      </c>
      <c r="BH69" s="53" t="s">
        <v>38</v>
      </c>
      <c r="BI69" s="53" t="s">
        <v>38</v>
      </c>
      <c r="BJ69" s="53" t="s">
        <v>38</v>
      </c>
      <c r="BK69" s="38">
        <v>0.17499999999999999</v>
      </c>
      <c r="BL69" s="38" t="s">
        <v>38</v>
      </c>
      <c r="BM69" s="38" t="s">
        <v>38</v>
      </c>
      <c r="BN69" s="38" t="s">
        <v>38</v>
      </c>
      <c r="BO69" s="38" t="s">
        <v>38</v>
      </c>
      <c r="BP69" s="38" t="s">
        <v>38</v>
      </c>
      <c r="BQ69" s="38">
        <v>0.11749999999999999</v>
      </c>
      <c r="BR69" s="56">
        <v>0.1285</v>
      </c>
      <c r="BS69" s="56">
        <v>0.11749999999999999</v>
      </c>
      <c r="BT69" s="56">
        <v>0.13400000000000001</v>
      </c>
      <c r="BU69" s="42">
        <v>0.10300000000000001</v>
      </c>
      <c r="BV69" s="56" t="s">
        <v>38</v>
      </c>
      <c r="BW69" s="42" t="s">
        <v>38</v>
      </c>
      <c r="BX69" s="56" t="s">
        <v>38</v>
      </c>
      <c r="BY69" s="85">
        <f>(0.274+0.225)/2</f>
        <v>0.2495</v>
      </c>
      <c r="BZ69" s="85">
        <f>(0.351+0.274)/2</f>
        <v>0.3125</v>
      </c>
      <c r="CA69" s="86">
        <v>0.23350000000000001</v>
      </c>
    </row>
    <row r="70" spans="1:79">
      <c r="A70" s="21" t="s">
        <v>21</v>
      </c>
      <c r="B70" s="82">
        <v>254460.43630199999</v>
      </c>
      <c r="C70" s="82">
        <v>4505681.1553699998</v>
      </c>
      <c r="D70" s="19">
        <v>5.8499999999999996E-2</v>
      </c>
      <c r="E70" s="19">
        <v>8.5000000000000006E-2</v>
      </c>
      <c r="F70" s="19">
        <v>0.104</v>
      </c>
      <c r="G70" s="19">
        <v>0.15050000000000002</v>
      </c>
      <c r="H70" s="19">
        <v>0.155</v>
      </c>
      <c r="I70" s="19">
        <v>7.3499999999999996E-2</v>
      </c>
      <c r="J70" s="19">
        <v>6.5000000000000002E-2</v>
      </c>
      <c r="K70" s="19">
        <v>4.9000000000000002E-2</v>
      </c>
      <c r="L70" s="19">
        <v>0.19900000000000001</v>
      </c>
      <c r="M70" s="19">
        <v>2.75E-2</v>
      </c>
      <c r="N70" s="16">
        <v>7.2999999999999995E-2</v>
      </c>
      <c r="O70" s="16">
        <v>5.2000000000000005E-2</v>
      </c>
      <c r="P70" s="23" t="s">
        <v>38</v>
      </c>
      <c r="Q70" s="16">
        <v>0.1095</v>
      </c>
      <c r="R70" s="23" t="s">
        <v>38</v>
      </c>
      <c r="S70" s="23" t="s">
        <v>38</v>
      </c>
      <c r="T70" s="51">
        <v>3.5000000000000003E-2</v>
      </c>
      <c r="U70" s="51">
        <v>9.9000000000000005E-2</v>
      </c>
      <c r="V70" s="51">
        <v>0.186</v>
      </c>
      <c r="W70" s="51">
        <v>7.1999999999999995E-2</v>
      </c>
      <c r="X70" s="51">
        <v>0.16500000000000001</v>
      </c>
      <c r="Y70" s="51" t="s">
        <v>38</v>
      </c>
      <c r="Z70" s="51">
        <v>0.17699999999999999</v>
      </c>
      <c r="AA70" s="51">
        <v>0.161</v>
      </c>
      <c r="AB70" s="51" t="s">
        <v>38</v>
      </c>
      <c r="AC70" s="51">
        <v>0.14499999999999999</v>
      </c>
      <c r="AD70" s="51">
        <v>0.192</v>
      </c>
      <c r="AE70" s="51" t="s">
        <v>38</v>
      </c>
      <c r="AF70" s="51">
        <v>0.112</v>
      </c>
      <c r="AG70" s="51">
        <v>0.112</v>
      </c>
      <c r="AH70" s="51">
        <v>9.4E-2</v>
      </c>
      <c r="AI70" s="51" t="s">
        <v>38</v>
      </c>
      <c r="AJ70" s="51" t="s">
        <v>38</v>
      </c>
      <c r="AK70" s="51">
        <v>9.0999999999999998E-2</v>
      </c>
      <c r="AL70" s="51">
        <v>0.13500000000000001</v>
      </c>
      <c r="AM70" s="51">
        <v>8.4000000000000005E-2</v>
      </c>
      <c r="AN70" s="51">
        <v>0.107</v>
      </c>
      <c r="AO70" s="51" t="s">
        <v>38</v>
      </c>
      <c r="AP70" s="51" t="s">
        <v>38</v>
      </c>
      <c r="AQ70" s="51">
        <v>0.09</v>
      </c>
      <c r="AR70" s="51" t="s">
        <v>38</v>
      </c>
      <c r="AS70" s="51">
        <v>8.6999999999999994E-2</v>
      </c>
      <c r="AT70" s="51" t="s">
        <v>38</v>
      </c>
      <c r="AU70" s="51">
        <v>0.112</v>
      </c>
      <c r="AV70" s="51" t="s">
        <v>38</v>
      </c>
      <c r="AW70" s="51" t="s">
        <v>38</v>
      </c>
      <c r="AX70" s="51" t="s">
        <v>38</v>
      </c>
      <c r="AY70" s="51">
        <v>0.13900000000000001</v>
      </c>
      <c r="AZ70" s="51">
        <v>0.124</v>
      </c>
      <c r="BA70" s="51" t="s">
        <v>38</v>
      </c>
      <c r="BB70" s="52">
        <v>7.4999999999999997E-3</v>
      </c>
      <c r="BC70" s="51">
        <v>8.3999999999999991E-2</v>
      </c>
      <c r="BD70" s="53">
        <v>0.1145</v>
      </c>
      <c r="BE70" s="53" t="s">
        <v>38</v>
      </c>
      <c r="BF70" s="53">
        <v>0.06</v>
      </c>
      <c r="BG70" s="51">
        <v>0.14749999999999999</v>
      </c>
      <c r="BH70" s="53" t="s">
        <v>38</v>
      </c>
      <c r="BI70" s="53" t="s">
        <v>38</v>
      </c>
      <c r="BJ70" s="53" t="s">
        <v>38</v>
      </c>
      <c r="BK70" s="38">
        <v>0.26700000000000002</v>
      </c>
      <c r="BL70" s="38" t="s">
        <v>38</v>
      </c>
      <c r="BM70" s="38" t="s">
        <v>38</v>
      </c>
      <c r="BN70" s="38" t="s">
        <v>38</v>
      </c>
      <c r="BO70" s="38" t="s">
        <v>38</v>
      </c>
      <c r="BP70" s="38" t="s">
        <v>38</v>
      </c>
      <c r="BQ70" s="38">
        <v>9.4500000000000001E-2</v>
      </c>
      <c r="BR70" s="56">
        <v>8.4500000000000006E-2</v>
      </c>
      <c r="BS70" s="56">
        <v>8.0500000000000002E-2</v>
      </c>
      <c r="BT70" s="56">
        <v>7.3499999999999996E-2</v>
      </c>
      <c r="BU70" s="42">
        <v>6.9000000000000006E-2</v>
      </c>
      <c r="BV70" s="56" t="s">
        <v>38</v>
      </c>
      <c r="BW70" s="42" t="s">
        <v>38</v>
      </c>
      <c r="BX70" s="56" t="s">
        <v>38</v>
      </c>
      <c r="BY70" s="85">
        <f>(0.234+0.194)/2</f>
        <v>0.21400000000000002</v>
      </c>
      <c r="BZ70" s="85">
        <f>(0.273+0.282)/2</f>
        <v>0.27749999999999997</v>
      </c>
      <c r="CA70" s="86">
        <v>0.17799999999999999</v>
      </c>
    </row>
    <row r="71" spans="1:79">
      <c r="A71" s="21">
        <v>54</v>
      </c>
      <c r="B71" s="82">
        <v>254459.10776799999</v>
      </c>
      <c r="C71" s="82">
        <v>4505704.5320499996</v>
      </c>
      <c r="D71" s="19" t="s">
        <v>38</v>
      </c>
      <c r="E71" s="19" t="s">
        <v>38</v>
      </c>
      <c r="F71" s="19" t="s">
        <v>38</v>
      </c>
      <c r="G71" s="19" t="s">
        <v>38</v>
      </c>
      <c r="H71" s="19" t="s">
        <v>38</v>
      </c>
      <c r="I71" s="19" t="s">
        <v>38</v>
      </c>
      <c r="J71" s="19" t="s">
        <v>38</v>
      </c>
      <c r="K71" s="19" t="s">
        <v>38</v>
      </c>
      <c r="L71" s="19" t="s">
        <v>38</v>
      </c>
      <c r="M71" s="19" t="s">
        <v>38</v>
      </c>
      <c r="N71" s="23" t="s">
        <v>38</v>
      </c>
      <c r="O71" s="23" t="s">
        <v>38</v>
      </c>
      <c r="P71" s="23" t="s">
        <v>38</v>
      </c>
      <c r="Q71" s="23" t="s">
        <v>38</v>
      </c>
      <c r="R71" s="23" t="s">
        <v>38</v>
      </c>
      <c r="S71" s="23" t="s">
        <v>38</v>
      </c>
      <c r="T71" s="23" t="s">
        <v>38</v>
      </c>
      <c r="U71" s="23" t="s">
        <v>38</v>
      </c>
      <c r="V71" s="23" t="s">
        <v>38</v>
      </c>
      <c r="W71" s="23" t="s">
        <v>38</v>
      </c>
      <c r="X71" s="23" t="s">
        <v>38</v>
      </c>
      <c r="Y71" s="23" t="s">
        <v>38</v>
      </c>
      <c r="Z71" s="23" t="s">
        <v>38</v>
      </c>
      <c r="AA71" s="23" t="s">
        <v>38</v>
      </c>
      <c r="AB71" s="23" t="s">
        <v>38</v>
      </c>
      <c r="AC71" s="23" t="s">
        <v>38</v>
      </c>
      <c r="AD71" s="23" t="s">
        <v>38</v>
      </c>
      <c r="AE71" s="23" t="s">
        <v>38</v>
      </c>
      <c r="AF71" s="23" t="s">
        <v>38</v>
      </c>
      <c r="AG71" s="23" t="s">
        <v>38</v>
      </c>
      <c r="AH71" s="23" t="s">
        <v>38</v>
      </c>
      <c r="AI71" s="23" t="s">
        <v>38</v>
      </c>
      <c r="AJ71" s="51" t="s">
        <v>38</v>
      </c>
      <c r="AK71" s="51" t="s">
        <v>38</v>
      </c>
      <c r="AL71" s="51" t="s">
        <v>38</v>
      </c>
      <c r="AM71" s="51" t="s">
        <v>38</v>
      </c>
      <c r="AN71" s="51" t="s">
        <v>38</v>
      </c>
      <c r="AO71" s="51" t="s">
        <v>38</v>
      </c>
      <c r="AP71" s="51" t="s">
        <v>38</v>
      </c>
      <c r="AQ71" s="51" t="s">
        <v>38</v>
      </c>
      <c r="AR71" s="51" t="s">
        <v>38</v>
      </c>
      <c r="AS71" s="51" t="s">
        <v>38</v>
      </c>
      <c r="AT71" s="51" t="s">
        <v>38</v>
      </c>
      <c r="AU71" s="51" t="s">
        <v>38</v>
      </c>
      <c r="AV71" s="51" t="s">
        <v>38</v>
      </c>
      <c r="AW71" s="51" t="s">
        <v>38</v>
      </c>
      <c r="AX71" s="51" t="s">
        <v>38</v>
      </c>
      <c r="AY71" s="51">
        <v>0.26400000000000001</v>
      </c>
      <c r="AZ71" s="51">
        <v>0.219</v>
      </c>
      <c r="BA71" s="51">
        <v>0.125</v>
      </c>
      <c r="BB71" s="52" t="s">
        <v>38</v>
      </c>
      <c r="BC71" s="51" t="s">
        <v>38</v>
      </c>
      <c r="BD71" s="53" t="s">
        <v>38</v>
      </c>
      <c r="BE71" s="53" t="s">
        <v>38</v>
      </c>
      <c r="BF71" s="53" t="s">
        <v>38</v>
      </c>
      <c r="BG71" s="53" t="s">
        <v>38</v>
      </c>
      <c r="BH71" s="53" t="s">
        <v>38</v>
      </c>
      <c r="BI71" s="53" t="s">
        <v>38</v>
      </c>
      <c r="BJ71" s="53" t="s">
        <v>38</v>
      </c>
      <c r="BK71" s="53" t="s">
        <v>38</v>
      </c>
      <c r="BL71" s="38" t="s">
        <v>38</v>
      </c>
      <c r="BM71" s="38" t="s">
        <v>38</v>
      </c>
      <c r="BN71" s="38" t="s">
        <v>38</v>
      </c>
      <c r="BO71" s="38" t="s">
        <v>38</v>
      </c>
      <c r="BP71" s="38" t="s">
        <v>38</v>
      </c>
      <c r="BQ71" s="38" t="s">
        <v>38</v>
      </c>
      <c r="BR71" s="38" t="s">
        <v>38</v>
      </c>
      <c r="BS71" s="38" t="s">
        <v>38</v>
      </c>
      <c r="BT71" s="38" t="s">
        <v>38</v>
      </c>
      <c r="BU71" s="38" t="s">
        <v>38</v>
      </c>
      <c r="BV71" s="38" t="s">
        <v>38</v>
      </c>
      <c r="BW71" s="38" t="s">
        <v>38</v>
      </c>
      <c r="BX71" s="56" t="s">
        <v>38</v>
      </c>
      <c r="BY71" s="69" t="s">
        <v>38</v>
      </c>
      <c r="BZ71" s="69" t="s">
        <v>38</v>
      </c>
      <c r="CA71" s="86" t="s">
        <v>38</v>
      </c>
    </row>
    <row r="72" spans="1:79">
      <c r="A72" s="21">
        <v>55</v>
      </c>
      <c r="B72" s="82">
        <v>254464.43786400001</v>
      </c>
      <c r="C72" s="82">
        <v>4505623.9690100001</v>
      </c>
      <c r="D72" s="19">
        <v>0.2535</v>
      </c>
      <c r="E72" s="19">
        <v>0.13950000000000001</v>
      </c>
      <c r="F72" s="19">
        <v>0.127</v>
      </c>
      <c r="G72" s="19">
        <v>0.17399999999999999</v>
      </c>
      <c r="H72" s="19">
        <v>0.161</v>
      </c>
      <c r="I72" s="19">
        <v>0.14150000000000001</v>
      </c>
      <c r="J72" s="19">
        <v>0.1555</v>
      </c>
      <c r="K72" s="19">
        <v>0.11649999999999999</v>
      </c>
      <c r="L72" s="19" t="s">
        <v>38</v>
      </c>
      <c r="M72" s="19" t="s">
        <v>38</v>
      </c>
      <c r="N72" s="23" t="s">
        <v>38</v>
      </c>
      <c r="O72" s="23" t="s">
        <v>38</v>
      </c>
      <c r="P72" s="23" t="s">
        <v>38</v>
      </c>
      <c r="Q72" s="23" t="s">
        <v>38</v>
      </c>
      <c r="R72" s="23" t="s">
        <v>38</v>
      </c>
      <c r="S72" s="23" t="s">
        <v>38</v>
      </c>
      <c r="T72" s="51">
        <v>0.308</v>
      </c>
      <c r="U72" s="51">
        <v>0.183</v>
      </c>
      <c r="V72" s="23" t="s">
        <v>38</v>
      </c>
      <c r="W72" s="51">
        <v>0.16400000000000001</v>
      </c>
      <c r="X72" s="51">
        <v>0.223</v>
      </c>
      <c r="Y72" s="51">
        <v>0.183</v>
      </c>
      <c r="Z72" s="51">
        <v>0.17899999999999999</v>
      </c>
      <c r="AA72" s="51">
        <v>0.22600000000000001</v>
      </c>
      <c r="AB72" s="51">
        <v>0.247</v>
      </c>
      <c r="AC72" s="51">
        <v>0.16800000000000001</v>
      </c>
      <c r="AD72" s="51">
        <v>0.15</v>
      </c>
      <c r="AE72" s="51">
        <v>0.21299999999999999</v>
      </c>
      <c r="AF72" s="51">
        <v>0.18</v>
      </c>
      <c r="AG72" s="51">
        <v>0.13</v>
      </c>
      <c r="AH72" s="51">
        <v>0.14299999999999999</v>
      </c>
      <c r="AI72" s="51">
        <v>0.13800000000000001</v>
      </c>
      <c r="AJ72" s="51">
        <v>0.11600000000000001</v>
      </c>
      <c r="AK72" s="51">
        <v>0.125</v>
      </c>
      <c r="AL72" s="51">
        <v>0.16200000000000001</v>
      </c>
      <c r="AM72" s="51">
        <v>0.22700000000000001</v>
      </c>
      <c r="AN72" s="51">
        <v>0.16800000000000001</v>
      </c>
      <c r="AO72" s="51">
        <v>0.128</v>
      </c>
      <c r="AP72" s="51">
        <v>0.27900000000000003</v>
      </c>
      <c r="AQ72" s="51">
        <v>0.16600000000000001</v>
      </c>
      <c r="AR72" s="51">
        <v>0.11899999999999999</v>
      </c>
      <c r="AS72" s="51">
        <v>0.14599999999999999</v>
      </c>
      <c r="AT72" s="51">
        <v>0.17199999999999999</v>
      </c>
      <c r="AU72" s="51">
        <v>0.18</v>
      </c>
      <c r="AV72" s="51">
        <v>0.14299999999999999</v>
      </c>
      <c r="AW72" s="51">
        <v>0.11899999999999999</v>
      </c>
      <c r="AX72" s="51">
        <v>0.14299999999999999</v>
      </c>
      <c r="AY72" s="51">
        <v>0.17299999999999999</v>
      </c>
      <c r="AZ72" s="51">
        <v>0.17799999999999999</v>
      </c>
      <c r="BA72" s="51">
        <v>0.25900000000000001</v>
      </c>
      <c r="BB72" s="52">
        <v>0.10900000000000001</v>
      </c>
      <c r="BC72" s="51">
        <v>0.191</v>
      </c>
      <c r="BD72" s="53">
        <v>0.18049999999999999</v>
      </c>
      <c r="BE72" s="53">
        <v>0.14450000000000002</v>
      </c>
      <c r="BF72" s="53">
        <v>7.0000000000000007E-2</v>
      </c>
      <c r="BG72" s="51">
        <v>0.1865</v>
      </c>
      <c r="BH72" s="38">
        <v>0.1225</v>
      </c>
      <c r="BI72" s="38">
        <v>0.19500000000000001</v>
      </c>
      <c r="BJ72" s="38">
        <v>0.191</v>
      </c>
      <c r="BK72" s="38">
        <v>0.17849999999999999</v>
      </c>
      <c r="BL72" s="38">
        <v>0.2155</v>
      </c>
      <c r="BM72" s="38">
        <v>0.23</v>
      </c>
      <c r="BN72" s="38" t="s">
        <v>38</v>
      </c>
      <c r="BO72" s="51">
        <v>0.23649999999999999</v>
      </c>
      <c r="BP72" s="38">
        <v>0.221</v>
      </c>
      <c r="BQ72" s="38">
        <v>0.127</v>
      </c>
      <c r="BR72" s="56">
        <v>0.11649999999999999</v>
      </c>
      <c r="BS72" s="56">
        <v>0.1595</v>
      </c>
      <c r="BT72" s="56">
        <v>9.8000000000000004E-2</v>
      </c>
      <c r="BU72" s="42">
        <v>8.7999999999999995E-2</v>
      </c>
      <c r="BV72" s="56">
        <v>0.16700000000000001</v>
      </c>
      <c r="BW72" s="42" t="s">
        <v>38</v>
      </c>
      <c r="BX72" s="56" t="s">
        <v>38</v>
      </c>
      <c r="BY72" s="85">
        <f>(0.195+0.206)/2</f>
        <v>0.20050000000000001</v>
      </c>
      <c r="BZ72" s="85">
        <f>(0.282+0.327)/2</f>
        <v>0.30449999999999999</v>
      </c>
      <c r="CA72" s="86">
        <v>0.18049999999999999</v>
      </c>
    </row>
    <row r="73" spans="1:79">
      <c r="A73" s="21" t="s">
        <v>22</v>
      </c>
      <c r="B73" s="82">
        <v>254465.50736700001</v>
      </c>
      <c r="C73" s="82">
        <v>4505625.0454799999</v>
      </c>
      <c r="D73" s="19">
        <v>0.29549999999999998</v>
      </c>
      <c r="E73" s="19">
        <v>0.25800000000000001</v>
      </c>
      <c r="F73" s="19">
        <v>0.29699999999999999</v>
      </c>
      <c r="G73" s="19">
        <v>0.27250000000000002</v>
      </c>
      <c r="H73" s="19">
        <v>0.26</v>
      </c>
      <c r="I73" s="19">
        <v>0.21800000000000003</v>
      </c>
      <c r="J73" s="19">
        <v>0.18099999999999999</v>
      </c>
      <c r="K73" s="19">
        <v>0.14900000000000002</v>
      </c>
      <c r="L73" s="19">
        <v>0.14400000000000002</v>
      </c>
      <c r="M73" s="19">
        <v>0.13650000000000001</v>
      </c>
      <c r="N73" s="16">
        <v>0.16899999999999998</v>
      </c>
      <c r="O73" s="16">
        <v>0.14150000000000001</v>
      </c>
      <c r="P73" s="16">
        <v>0.13200000000000001</v>
      </c>
      <c r="Q73" s="16">
        <v>0.2175</v>
      </c>
      <c r="R73" s="16">
        <v>0.21099999999999999</v>
      </c>
      <c r="S73" s="23" t="s">
        <v>38</v>
      </c>
      <c r="T73" s="51">
        <v>0.33900000000000002</v>
      </c>
      <c r="U73" s="51">
        <v>0.30099999999999999</v>
      </c>
      <c r="V73" s="23" t="s">
        <v>38</v>
      </c>
      <c r="W73" s="51">
        <v>0.35699999999999998</v>
      </c>
      <c r="X73" s="51">
        <v>0.29099999999999998</v>
      </c>
      <c r="Y73" s="51" t="s">
        <v>38</v>
      </c>
      <c r="Z73" s="51">
        <v>0.28599999999999998</v>
      </c>
      <c r="AA73" s="51">
        <v>0.27900000000000003</v>
      </c>
      <c r="AB73" s="51" t="s">
        <v>38</v>
      </c>
      <c r="AC73" s="51">
        <v>0.28499999999999998</v>
      </c>
      <c r="AD73" s="51">
        <v>0.245</v>
      </c>
      <c r="AE73" s="51" t="s">
        <v>38</v>
      </c>
      <c r="AF73" s="51">
        <v>0.218</v>
      </c>
      <c r="AG73" s="51">
        <v>0.23100000000000001</v>
      </c>
      <c r="AH73" s="51">
        <v>0.17299999999999999</v>
      </c>
      <c r="AI73" s="51" t="s">
        <v>38</v>
      </c>
      <c r="AJ73" s="23" t="s">
        <v>38</v>
      </c>
      <c r="AK73" s="51">
        <v>0.17399999999999999</v>
      </c>
      <c r="AL73" s="51">
        <v>0.28999999999999998</v>
      </c>
      <c r="AM73" s="51">
        <v>0.39700000000000002</v>
      </c>
      <c r="AN73" s="51">
        <v>0.25</v>
      </c>
      <c r="AO73" s="23" t="s">
        <v>38</v>
      </c>
      <c r="AP73" s="23" t="s">
        <v>38</v>
      </c>
      <c r="AQ73" s="51">
        <v>0.22500000000000001</v>
      </c>
      <c r="AR73" s="23" t="s">
        <v>38</v>
      </c>
      <c r="AS73" s="51">
        <v>0.19700000000000001</v>
      </c>
      <c r="AT73" s="23" t="s">
        <v>38</v>
      </c>
      <c r="AU73" s="51">
        <v>0.20300000000000001</v>
      </c>
      <c r="AV73" s="23" t="s">
        <v>38</v>
      </c>
      <c r="AW73" s="23" t="s">
        <v>38</v>
      </c>
      <c r="AX73" s="23" t="s">
        <v>38</v>
      </c>
      <c r="AY73" s="51">
        <v>0.20399999999999999</v>
      </c>
      <c r="AZ73" s="51">
        <v>0.20100000000000001</v>
      </c>
      <c r="BA73" s="51">
        <v>0.184</v>
      </c>
      <c r="BB73" s="52">
        <v>0.17049999999999998</v>
      </c>
      <c r="BC73" s="51">
        <v>0.2525</v>
      </c>
      <c r="BD73" s="53">
        <v>0.27700000000000002</v>
      </c>
      <c r="BE73" s="53">
        <v>0.24149999999999999</v>
      </c>
      <c r="BF73" s="53">
        <v>0.17499999999999999</v>
      </c>
      <c r="BG73" s="51">
        <v>0.27049999999999996</v>
      </c>
      <c r="BH73" s="38" t="s">
        <v>38</v>
      </c>
      <c r="BI73" s="38" t="s">
        <v>38</v>
      </c>
      <c r="BJ73" s="38" t="s">
        <v>38</v>
      </c>
      <c r="BK73" s="38">
        <v>0.2495</v>
      </c>
      <c r="BL73" s="38" t="s">
        <v>38</v>
      </c>
      <c r="BM73" s="38" t="s">
        <v>38</v>
      </c>
      <c r="BN73" s="38" t="s">
        <v>38</v>
      </c>
      <c r="BO73" s="38" t="s">
        <v>38</v>
      </c>
      <c r="BP73" s="38" t="s">
        <v>38</v>
      </c>
      <c r="BQ73" s="38">
        <v>0.1825</v>
      </c>
      <c r="BR73" s="56">
        <v>0.19700000000000001</v>
      </c>
      <c r="BS73" s="56">
        <v>0.19400000000000001</v>
      </c>
      <c r="BT73" s="56">
        <v>0.161</v>
      </c>
      <c r="BU73" s="42">
        <v>0.17449999999999999</v>
      </c>
      <c r="BV73" s="56" t="s">
        <v>38</v>
      </c>
      <c r="BW73" s="42">
        <v>0.21100000000000002</v>
      </c>
      <c r="BX73" s="56" t="s">
        <v>38</v>
      </c>
      <c r="BY73" s="85">
        <f>(0.273+0.296)/2</f>
        <v>0.28449999999999998</v>
      </c>
      <c r="BZ73" s="85">
        <f>(0.323+0.345)/2</f>
        <v>0.33399999999999996</v>
      </c>
      <c r="CA73" s="86">
        <v>0.29049999999999998</v>
      </c>
    </row>
    <row r="74" spans="1:79">
      <c r="A74" s="21" t="s">
        <v>23</v>
      </c>
      <c r="B74" s="82">
        <v>254465.36725000001</v>
      </c>
      <c r="C74" s="82">
        <v>4505622.9550599996</v>
      </c>
      <c r="D74" s="19">
        <v>0.33100000000000002</v>
      </c>
      <c r="E74" s="19">
        <v>0.27450000000000002</v>
      </c>
      <c r="F74" s="19">
        <v>0.27850000000000003</v>
      </c>
      <c r="G74" s="19">
        <v>0.29099999999999998</v>
      </c>
      <c r="H74" s="19">
        <v>0.28849999999999998</v>
      </c>
      <c r="I74" s="19">
        <v>0.221</v>
      </c>
      <c r="J74" s="19">
        <v>0.20400000000000001</v>
      </c>
      <c r="K74" s="19">
        <v>0.16400000000000001</v>
      </c>
      <c r="L74" s="19">
        <v>0.152</v>
      </c>
      <c r="M74" s="19">
        <v>0.154</v>
      </c>
      <c r="N74" s="16">
        <v>0.17749999999999999</v>
      </c>
      <c r="O74" s="16">
        <v>0.153</v>
      </c>
      <c r="P74" s="23" t="s">
        <v>38</v>
      </c>
      <c r="Q74" s="16">
        <v>0.17199999999999999</v>
      </c>
      <c r="R74" s="23" t="s">
        <v>38</v>
      </c>
      <c r="S74" s="16">
        <v>0.20849999999999999</v>
      </c>
      <c r="T74" s="51">
        <v>0.307</v>
      </c>
      <c r="U74" s="51">
        <v>0.318</v>
      </c>
      <c r="V74" s="23" t="s">
        <v>38</v>
      </c>
      <c r="W74" s="51">
        <v>0.35</v>
      </c>
      <c r="X74" s="51">
        <v>0.32</v>
      </c>
      <c r="Y74" s="51" t="s">
        <v>38</v>
      </c>
      <c r="Z74" s="51">
        <v>0.32200000000000001</v>
      </c>
      <c r="AA74" s="51">
        <v>0.32200000000000001</v>
      </c>
      <c r="AB74" s="51" t="s">
        <v>38</v>
      </c>
      <c r="AC74" s="51">
        <v>0.30399999999999999</v>
      </c>
      <c r="AD74" s="51">
        <v>0.29899999999999999</v>
      </c>
      <c r="AE74" s="51" t="s">
        <v>38</v>
      </c>
      <c r="AF74" s="51">
        <v>0.20200000000000001</v>
      </c>
      <c r="AG74" s="51">
        <v>0.192</v>
      </c>
      <c r="AH74" s="51">
        <v>0.191</v>
      </c>
      <c r="AI74" s="51" t="s">
        <v>38</v>
      </c>
      <c r="AJ74" s="23" t="s">
        <v>38</v>
      </c>
      <c r="AK74" s="51">
        <v>0.19800000000000001</v>
      </c>
      <c r="AL74" s="51">
        <v>0.224</v>
      </c>
      <c r="AM74" s="51">
        <v>0.36899999999999999</v>
      </c>
      <c r="AN74" s="51">
        <v>0.248</v>
      </c>
      <c r="AO74" s="23" t="s">
        <v>38</v>
      </c>
      <c r="AP74" s="23" t="s">
        <v>38</v>
      </c>
      <c r="AQ74" s="51">
        <v>0.22800000000000001</v>
      </c>
      <c r="AR74" s="23" t="s">
        <v>38</v>
      </c>
      <c r="AS74" s="51">
        <v>0.215</v>
      </c>
      <c r="AT74" s="23" t="s">
        <v>38</v>
      </c>
      <c r="AU74" s="51">
        <v>0.20300000000000001</v>
      </c>
      <c r="AV74" s="23" t="s">
        <v>38</v>
      </c>
      <c r="AW74" s="23" t="s">
        <v>38</v>
      </c>
      <c r="AX74" s="23" t="s">
        <v>38</v>
      </c>
      <c r="AY74" s="51">
        <v>0.215</v>
      </c>
      <c r="AZ74" s="51">
        <v>0.21099999999999999</v>
      </c>
      <c r="BA74" s="51">
        <v>0.19900000000000001</v>
      </c>
      <c r="BB74" s="52">
        <v>0.13850000000000001</v>
      </c>
      <c r="BC74" s="51">
        <v>0.2215</v>
      </c>
      <c r="BD74" s="53">
        <v>0.19800000000000001</v>
      </c>
      <c r="BE74" s="53">
        <v>0.17599999999999999</v>
      </c>
      <c r="BF74" s="53">
        <v>0.14549999999999999</v>
      </c>
      <c r="BG74" s="51">
        <v>0.27150000000000002</v>
      </c>
      <c r="BH74" s="38" t="s">
        <v>38</v>
      </c>
      <c r="BI74" s="38" t="s">
        <v>38</v>
      </c>
      <c r="BJ74" s="38" t="s">
        <v>38</v>
      </c>
      <c r="BK74" s="38">
        <v>0.27849999999999997</v>
      </c>
      <c r="BL74" s="38" t="s">
        <v>38</v>
      </c>
      <c r="BM74" s="38" t="s">
        <v>38</v>
      </c>
      <c r="BN74" s="38" t="s">
        <v>38</v>
      </c>
      <c r="BO74" s="38" t="s">
        <v>38</v>
      </c>
      <c r="BP74" s="38" t="s">
        <v>38</v>
      </c>
      <c r="BQ74" s="38">
        <v>0.1845</v>
      </c>
      <c r="BR74" s="56">
        <v>0.187</v>
      </c>
      <c r="BS74" s="56">
        <v>0.17499999999999999</v>
      </c>
      <c r="BT74" s="56">
        <v>0.18099999999999999</v>
      </c>
      <c r="BU74" s="42">
        <v>0.186</v>
      </c>
      <c r="BV74" s="56" t="s">
        <v>38</v>
      </c>
      <c r="BW74" s="56" t="s">
        <v>38</v>
      </c>
      <c r="BX74" s="56" t="s">
        <v>38</v>
      </c>
      <c r="BY74" s="85">
        <f>(0.308+0.295)/2</f>
        <v>0.30149999999999999</v>
      </c>
      <c r="BZ74" s="85">
        <f>(0.375+0.381)/2</f>
        <v>0.378</v>
      </c>
      <c r="CA74" s="86">
        <v>0.28849999999999998</v>
      </c>
    </row>
    <row r="75" spans="1:79">
      <c r="A75" s="21" t="s">
        <v>24</v>
      </c>
      <c r="B75" s="82">
        <v>254463.46215599999</v>
      </c>
      <c r="C75" s="82">
        <v>4505623.0080000004</v>
      </c>
      <c r="D75" s="19">
        <v>0.32550000000000001</v>
      </c>
      <c r="E75" s="19">
        <v>0.308</v>
      </c>
      <c r="F75" s="19">
        <v>0.33700000000000002</v>
      </c>
      <c r="G75" s="19">
        <v>0.32650000000000001</v>
      </c>
      <c r="H75" s="19">
        <v>0.31850000000000001</v>
      </c>
      <c r="I75" s="19">
        <v>0.26200000000000001</v>
      </c>
      <c r="J75" s="19">
        <v>0.22700000000000001</v>
      </c>
      <c r="K75" s="19">
        <v>0.17449999999999999</v>
      </c>
      <c r="L75" s="19">
        <v>0.11599999999999999</v>
      </c>
      <c r="M75" s="19">
        <v>0.1615</v>
      </c>
      <c r="N75" s="16">
        <v>0.20699999999999999</v>
      </c>
      <c r="O75" s="16">
        <v>0.16650000000000001</v>
      </c>
      <c r="P75" s="23" t="s">
        <v>38</v>
      </c>
      <c r="Q75" s="16">
        <v>0.23499999999999999</v>
      </c>
      <c r="R75" s="23" t="s">
        <v>38</v>
      </c>
      <c r="S75" s="23" t="s">
        <v>38</v>
      </c>
      <c r="T75" s="51">
        <v>0.36799999999999999</v>
      </c>
      <c r="U75" s="51">
        <v>0.372</v>
      </c>
      <c r="V75" s="23" t="s">
        <v>38</v>
      </c>
      <c r="W75" s="51">
        <v>0.42099999999999999</v>
      </c>
      <c r="X75" s="51">
        <v>0.379</v>
      </c>
      <c r="Y75" s="51" t="s">
        <v>38</v>
      </c>
      <c r="Z75" s="51">
        <v>0.35599999999999998</v>
      </c>
      <c r="AA75" s="51">
        <v>0.35399999999999998</v>
      </c>
      <c r="AB75" s="51" t="s">
        <v>38</v>
      </c>
      <c r="AC75" s="51">
        <v>0.373</v>
      </c>
      <c r="AD75" s="51">
        <v>0.34100000000000003</v>
      </c>
      <c r="AE75" s="51" t="s">
        <v>38</v>
      </c>
      <c r="AF75" s="51">
        <v>0.224</v>
      </c>
      <c r="AG75" s="51">
        <v>0.223</v>
      </c>
      <c r="AH75" s="51">
        <v>0.21</v>
      </c>
      <c r="AI75" s="51" t="s">
        <v>38</v>
      </c>
      <c r="AJ75" s="23" t="s">
        <v>38</v>
      </c>
      <c r="AK75" s="51">
        <v>0.19400000000000001</v>
      </c>
      <c r="AL75" s="51">
        <v>0.23300000000000001</v>
      </c>
      <c r="AM75" s="51">
        <v>0.42599999999999999</v>
      </c>
      <c r="AN75" s="51">
        <v>0.28199999999999997</v>
      </c>
      <c r="AO75" s="23" t="s">
        <v>38</v>
      </c>
      <c r="AP75" s="23" t="s">
        <v>38</v>
      </c>
      <c r="AQ75" s="51">
        <v>0.26600000000000001</v>
      </c>
      <c r="AR75" s="23" t="s">
        <v>38</v>
      </c>
      <c r="AS75" s="51">
        <v>0.24099999999999999</v>
      </c>
      <c r="AT75" s="23" t="s">
        <v>38</v>
      </c>
      <c r="AU75" s="51">
        <v>0.221</v>
      </c>
      <c r="AV75" s="23" t="s">
        <v>38</v>
      </c>
      <c r="AW75" s="23" t="s">
        <v>38</v>
      </c>
      <c r="AX75" s="23" t="s">
        <v>38</v>
      </c>
      <c r="AY75" s="23" t="s">
        <v>38</v>
      </c>
      <c r="AZ75" s="51" t="s">
        <v>38</v>
      </c>
      <c r="BA75" s="51">
        <v>0.20100000000000001</v>
      </c>
      <c r="BB75" s="52">
        <v>0.1595</v>
      </c>
      <c r="BC75" s="51">
        <v>0.19950000000000001</v>
      </c>
      <c r="BD75" s="53">
        <v>0.23499999999999999</v>
      </c>
      <c r="BE75" s="53">
        <v>0.23649999999999999</v>
      </c>
      <c r="BF75" s="53">
        <v>0.17</v>
      </c>
      <c r="BG75" s="51">
        <v>0.29599999999999999</v>
      </c>
      <c r="BH75" s="38" t="s">
        <v>38</v>
      </c>
      <c r="BI75" s="38" t="s">
        <v>38</v>
      </c>
      <c r="BJ75" s="38" t="s">
        <v>38</v>
      </c>
      <c r="BK75" s="38">
        <v>0.3105</v>
      </c>
      <c r="BL75" s="38" t="s">
        <v>38</v>
      </c>
      <c r="BM75" s="38" t="s">
        <v>38</v>
      </c>
      <c r="BN75" s="38" t="s">
        <v>38</v>
      </c>
      <c r="BO75" s="38" t="s">
        <v>38</v>
      </c>
      <c r="BP75" s="38" t="s">
        <v>38</v>
      </c>
      <c r="BQ75" s="38">
        <v>0.20799999999999999</v>
      </c>
      <c r="BR75" s="56">
        <v>0.2155</v>
      </c>
      <c r="BS75" s="56">
        <v>0.20799999999999999</v>
      </c>
      <c r="BT75" s="56">
        <v>0.20200000000000001</v>
      </c>
      <c r="BU75" s="42">
        <v>0.223</v>
      </c>
      <c r="BV75" s="56" t="s">
        <v>38</v>
      </c>
      <c r="BW75" s="56" t="s">
        <v>38</v>
      </c>
      <c r="BX75" s="56" t="s">
        <v>38</v>
      </c>
      <c r="BY75" s="85">
        <f>(0.34+0.355)/2</f>
        <v>0.34750000000000003</v>
      </c>
      <c r="BZ75" s="85">
        <f>(0.444+0.426)/2</f>
        <v>0.435</v>
      </c>
      <c r="CA75" s="86">
        <v>0.32250000000000001</v>
      </c>
    </row>
    <row r="76" spans="1:79">
      <c r="A76" s="21" t="s">
        <v>25</v>
      </c>
      <c r="B76" s="82">
        <v>254463.55436400001</v>
      </c>
      <c r="C76" s="82">
        <v>4505624.7253999999</v>
      </c>
      <c r="D76" s="19">
        <v>0.28050000000000003</v>
      </c>
      <c r="E76" s="19">
        <v>0.26500000000000001</v>
      </c>
      <c r="F76" s="19">
        <v>0.28100000000000003</v>
      </c>
      <c r="G76" s="19">
        <v>0.28649999999999998</v>
      </c>
      <c r="H76" s="19">
        <v>0.29399999999999998</v>
      </c>
      <c r="I76" s="19">
        <v>0.23949999999999999</v>
      </c>
      <c r="J76" s="19">
        <v>0.20600000000000002</v>
      </c>
      <c r="K76" s="19">
        <v>0.156</v>
      </c>
      <c r="L76" s="19">
        <v>8.0499999999999988E-2</v>
      </c>
      <c r="M76" s="19">
        <v>0.151</v>
      </c>
      <c r="N76" s="16">
        <v>0.21249999999999999</v>
      </c>
      <c r="O76" s="16">
        <v>0.14949999999999999</v>
      </c>
      <c r="P76" s="23" t="s">
        <v>38</v>
      </c>
      <c r="Q76" s="16">
        <v>0.22600000000000001</v>
      </c>
      <c r="R76" s="23" t="s">
        <v>38</v>
      </c>
      <c r="S76" s="23" t="s">
        <v>38</v>
      </c>
      <c r="T76" s="51">
        <v>0.29299999999999998</v>
      </c>
      <c r="U76" s="51">
        <v>0.312</v>
      </c>
      <c r="V76" s="23" t="s">
        <v>38</v>
      </c>
      <c r="W76" s="51">
        <v>0.34100000000000003</v>
      </c>
      <c r="X76" s="51">
        <v>0.316</v>
      </c>
      <c r="Y76" s="51" t="s">
        <v>38</v>
      </c>
      <c r="Z76" s="51">
        <v>0.33</v>
      </c>
      <c r="AA76" s="51">
        <v>0.31900000000000001</v>
      </c>
      <c r="AB76" s="51" t="s">
        <v>38</v>
      </c>
      <c r="AC76" s="51">
        <v>0.30299999999999999</v>
      </c>
      <c r="AD76" s="51">
        <v>0.30099999999999999</v>
      </c>
      <c r="AE76" s="51" t="s">
        <v>38</v>
      </c>
      <c r="AF76" s="51">
        <v>0.20200000000000001</v>
      </c>
      <c r="AG76" s="51">
        <v>0.19800000000000001</v>
      </c>
      <c r="AH76" s="51">
        <v>0.16400000000000001</v>
      </c>
      <c r="AI76" s="51" t="s">
        <v>38</v>
      </c>
      <c r="AJ76" s="23" t="s">
        <v>38</v>
      </c>
      <c r="AK76" s="51">
        <v>0.18099999999999999</v>
      </c>
      <c r="AL76" s="51">
        <v>0.22900000000000001</v>
      </c>
      <c r="AM76" s="51">
        <v>0.36199999999999999</v>
      </c>
      <c r="AN76" s="51">
        <v>0.248</v>
      </c>
      <c r="AO76" s="23" t="s">
        <v>38</v>
      </c>
      <c r="AP76" s="23" t="s">
        <v>38</v>
      </c>
      <c r="AQ76" s="51">
        <v>0.23200000000000001</v>
      </c>
      <c r="AR76" s="23" t="s">
        <v>38</v>
      </c>
      <c r="AS76" s="51">
        <v>0.216</v>
      </c>
      <c r="AT76" s="23" t="s">
        <v>38</v>
      </c>
      <c r="AU76" s="51">
        <v>0.19700000000000001</v>
      </c>
      <c r="AV76" s="23" t="s">
        <v>38</v>
      </c>
      <c r="AW76" s="23" t="s">
        <v>38</v>
      </c>
      <c r="AX76" s="23" t="s">
        <v>38</v>
      </c>
      <c r="AY76" s="23" t="s">
        <v>38</v>
      </c>
      <c r="AZ76" s="51" t="s">
        <v>38</v>
      </c>
      <c r="BA76" s="51" t="s">
        <v>38</v>
      </c>
      <c r="BB76" s="52">
        <v>0.1615</v>
      </c>
      <c r="BC76" s="51">
        <v>0.20949999999999999</v>
      </c>
      <c r="BD76" s="53">
        <v>0.2205</v>
      </c>
      <c r="BE76" s="53">
        <v>0.217</v>
      </c>
      <c r="BF76" s="53">
        <v>0.16550000000000001</v>
      </c>
      <c r="BG76" s="51">
        <v>0.28700000000000003</v>
      </c>
      <c r="BH76" s="38" t="s">
        <v>38</v>
      </c>
      <c r="BI76" s="38" t="s">
        <v>38</v>
      </c>
      <c r="BJ76" s="38" t="s">
        <v>38</v>
      </c>
      <c r="BK76" s="38">
        <v>0.26700000000000002</v>
      </c>
      <c r="BL76" s="38" t="s">
        <v>38</v>
      </c>
      <c r="BM76" s="38" t="s">
        <v>38</v>
      </c>
      <c r="BN76" s="38" t="s">
        <v>38</v>
      </c>
      <c r="BO76" s="38" t="s">
        <v>38</v>
      </c>
      <c r="BP76" s="38" t="s">
        <v>38</v>
      </c>
      <c r="BQ76" s="38">
        <v>0.192</v>
      </c>
      <c r="BR76" s="56">
        <v>0.19500000000000001</v>
      </c>
      <c r="BS76" s="56">
        <v>0.1875</v>
      </c>
      <c r="BT76" s="56">
        <v>0.186</v>
      </c>
      <c r="BU76" s="42">
        <v>0.187</v>
      </c>
      <c r="BV76" s="56" t="s">
        <v>38</v>
      </c>
      <c r="BW76" s="56" t="s">
        <v>38</v>
      </c>
      <c r="BX76" s="56" t="s">
        <v>38</v>
      </c>
      <c r="BY76" s="85">
        <f>(0.293+0.296)/2</f>
        <v>0.29449999999999998</v>
      </c>
      <c r="BZ76" s="85">
        <f>(0.373+0.38)/2</f>
        <v>0.3765</v>
      </c>
      <c r="CA76" s="86">
        <v>0.29199999999999998</v>
      </c>
    </row>
    <row r="77" spans="1:79">
      <c r="A77" s="21">
        <v>56</v>
      </c>
      <c r="B77" s="82">
        <v>254461.96097399999</v>
      </c>
      <c r="C77" s="82">
        <v>4505643.9971200004</v>
      </c>
      <c r="D77" s="19" t="s">
        <v>38</v>
      </c>
      <c r="E77" s="19" t="s">
        <v>38</v>
      </c>
      <c r="F77" s="19" t="s">
        <v>38</v>
      </c>
      <c r="G77" s="19" t="s">
        <v>38</v>
      </c>
      <c r="H77" s="19" t="s">
        <v>38</v>
      </c>
      <c r="I77" s="19" t="s">
        <v>38</v>
      </c>
      <c r="J77" s="19" t="s">
        <v>38</v>
      </c>
      <c r="K77" s="19" t="s">
        <v>38</v>
      </c>
      <c r="L77" s="19" t="s">
        <v>38</v>
      </c>
      <c r="M77" s="19" t="s">
        <v>38</v>
      </c>
      <c r="N77" s="23" t="s">
        <v>38</v>
      </c>
      <c r="O77" s="23" t="s">
        <v>38</v>
      </c>
      <c r="P77" s="23" t="s">
        <v>38</v>
      </c>
      <c r="Q77" s="23" t="s">
        <v>38</v>
      </c>
      <c r="R77" s="23" t="s">
        <v>38</v>
      </c>
      <c r="S77" s="23" t="s">
        <v>38</v>
      </c>
      <c r="T77" s="23" t="s">
        <v>38</v>
      </c>
      <c r="U77" s="23" t="s">
        <v>38</v>
      </c>
      <c r="V77" s="23" t="s">
        <v>38</v>
      </c>
      <c r="W77" s="23" t="s">
        <v>38</v>
      </c>
      <c r="X77" s="23" t="s">
        <v>38</v>
      </c>
      <c r="Y77" s="23" t="s">
        <v>38</v>
      </c>
      <c r="Z77" s="23" t="s">
        <v>38</v>
      </c>
      <c r="AA77" s="23" t="s">
        <v>38</v>
      </c>
      <c r="AB77" s="23" t="s">
        <v>38</v>
      </c>
      <c r="AC77" s="23" t="s">
        <v>38</v>
      </c>
      <c r="AD77" s="23" t="s">
        <v>38</v>
      </c>
      <c r="AE77" s="23" t="s">
        <v>38</v>
      </c>
      <c r="AF77" s="23" t="s">
        <v>38</v>
      </c>
      <c r="AG77" s="23" t="s">
        <v>38</v>
      </c>
      <c r="AH77" s="23" t="s">
        <v>38</v>
      </c>
      <c r="AI77" s="23" t="s">
        <v>38</v>
      </c>
      <c r="AJ77" s="23" t="s">
        <v>38</v>
      </c>
      <c r="AK77" s="23" t="s">
        <v>38</v>
      </c>
      <c r="AL77" s="23" t="s">
        <v>38</v>
      </c>
      <c r="AM77" s="23" t="s">
        <v>38</v>
      </c>
      <c r="AN77" s="23" t="s">
        <v>38</v>
      </c>
      <c r="AO77" s="23" t="s">
        <v>38</v>
      </c>
      <c r="AP77" s="23" t="s">
        <v>38</v>
      </c>
      <c r="AQ77" s="23" t="s">
        <v>38</v>
      </c>
      <c r="AR77" s="23" t="s">
        <v>38</v>
      </c>
      <c r="AS77" s="23" t="s">
        <v>38</v>
      </c>
      <c r="AT77" s="23" t="s">
        <v>38</v>
      </c>
      <c r="AU77" s="23" t="s">
        <v>38</v>
      </c>
      <c r="AV77" s="23" t="s">
        <v>38</v>
      </c>
      <c r="AW77" s="23" t="s">
        <v>38</v>
      </c>
      <c r="AX77" s="23" t="s">
        <v>38</v>
      </c>
      <c r="AY77" s="23" t="s">
        <v>38</v>
      </c>
      <c r="AZ77" s="23" t="s">
        <v>38</v>
      </c>
      <c r="BA77" s="23" t="s">
        <v>38</v>
      </c>
      <c r="BB77" s="23" t="s">
        <v>38</v>
      </c>
      <c r="BC77" s="23" t="s">
        <v>38</v>
      </c>
      <c r="BD77" s="23" t="s">
        <v>38</v>
      </c>
      <c r="BE77" s="23" t="s">
        <v>38</v>
      </c>
      <c r="BF77" s="23" t="s">
        <v>38</v>
      </c>
      <c r="BG77" s="23" t="s">
        <v>38</v>
      </c>
      <c r="BH77" s="23" t="s">
        <v>38</v>
      </c>
      <c r="BI77" s="23" t="s">
        <v>38</v>
      </c>
      <c r="BJ77" s="23" t="s">
        <v>38</v>
      </c>
      <c r="BK77" s="23" t="s">
        <v>38</v>
      </c>
      <c r="BL77" s="38" t="s">
        <v>38</v>
      </c>
      <c r="BM77" s="38" t="s">
        <v>38</v>
      </c>
      <c r="BN77" s="38" t="s">
        <v>38</v>
      </c>
      <c r="BO77" s="38" t="s">
        <v>38</v>
      </c>
      <c r="BP77" s="38" t="s">
        <v>38</v>
      </c>
      <c r="BQ77" s="38" t="s">
        <v>38</v>
      </c>
      <c r="BR77" s="38" t="s">
        <v>38</v>
      </c>
      <c r="BS77" s="38" t="s">
        <v>38</v>
      </c>
      <c r="BT77" s="38" t="s">
        <v>38</v>
      </c>
      <c r="BU77" s="38" t="s">
        <v>38</v>
      </c>
      <c r="BV77" s="38" t="s">
        <v>38</v>
      </c>
      <c r="BW77" s="38" t="s">
        <v>38</v>
      </c>
      <c r="BX77" s="38" t="s">
        <v>38</v>
      </c>
      <c r="BY77" s="69" t="s">
        <v>38</v>
      </c>
      <c r="BZ77" s="69" t="s">
        <v>38</v>
      </c>
      <c r="CA77" s="86" t="s">
        <v>38</v>
      </c>
    </row>
    <row r="78" spans="1:79">
      <c r="A78" s="21">
        <v>57</v>
      </c>
      <c r="B78" s="83">
        <v>254450.62839500001</v>
      </c>
      <c r="C78" s="83">
        <v>4505644.3176199999</v>
      </c>
      <c r="D78" s="19" t="s">
        <v>38</v>
      </c>
      <c r="E78" s="19" t="s">
        <v>38</v>
      </c>
      <c r="F78" s="19" t="s">
        <v>38</v>
      </c>
      <c r="G78" s="19" t="s">
        <v>38</v>
      </c>
      <c r="H78" s="19" t="s">
        <v>38</v>
      </c>
      <c r="I78" s="19" t="s">
        <v>38</v>
      </c>
      <c r="J78" s="19" t="s">
        <v>38</v>
      </c>
      <c r="K78" s="19" t="s">
        <v>38</v>
      </c>
      <c r="L78" s="19" t="s">
        <v>38</v>
      </c>
      <c r="M78" s="19" t="s">
        <v>38</v>
      </c>
      <c r="N78" s="23" t="s">
        <v>38</v>
      </c>
      <c r="O78" s="23" t="s">
        <v>38</v>
      </c>
      <c r="P78" s="23" t="s">
        <v>38</v>
      </c>
      <c r="Q78" s="23" t="s">
        <v>38</v>
      </c>
      <c r="R78" s="23" t="s">
        <v>38</v>
      </c>
      <c r="S78" s="23" t="s">
        <v>38</v>
      </c>
      <c r="T78" s="23" t="s">
        <v>38</v>
      </c>
      <c r="U78" s="23" t="s">
        <v>38</v>
      </c>
      <c r="V78" s="23" t="s">
        <v>38</v>
      </c>
      <c r="W78" s="23" t="s">
        <v>38</v>
      </c>
      <c r="X78" s="23" t="s">
        <v>38</v>
      </c>
      <c r="Y78" s="23" t="s">
        <v>38</v>
      </c>
      <c r="Z78" s="23" t="s">
        <v>38</v>
      </c>
      <c r="AA78" s="23" t="s">
        <v>38</v>
      </c>
      <c r="AB78" s="23" t="s">
        <v>38</v>
      </c>
      <c r="AC78" s="23" t="s">
        <v>38</v>
      </c>
      <c r="AD78" s="23" t="s">
        <v>38</v>
      </c>
      <c r="AE78" s="23" t="s">
        <v>38</v>
      </c>
      <c r="AF78" s="23" t="s">
        <v>38</v>
      </c>
      <c r="AG78" s="23" t="s">
        <v>38</v>
      </c>
      <c r="AH78" s="23" t="s">
        <v>38</v>
      </c>
      <c r="AI78" s="23" t="s">
        <v>38</v>
      </c>
      <c r="AJ78" s="23" t="s">
        <v>38</v>
      </c>
      <c r="AK78" s="23" t="s">
        <v>38</v>
      </c>
      <c r="AL78" s="23" t="s">
        <v>38</v>
      </c>
      <c r="AM78" s="23" t="s">
        <v>38</v>
      </c>
      <c r="AN78" s="23" t="s">
        <v>38</v>
      </c>
      <c r="AO78" s="23" t="s">
        <v>38</v>
      </c>
      <c r="AP78" s="23" t="s">
        <v>38</v>
      </c>
      <c r="AQ78" s="23" t="s">
        <v>38</v>
      </c>
      <c r="AR78" s="23" t="s">
        <v>38</v>
      </c>
      <c r="AS78" s="23" t="s">
        <v>38</v>
      </c>
      <c r="AT78" s="23" t="s">
        <v>38</v>
      </c>
      <c r="AU78" s="23" t="s">
        <v>38</v>
      </c>
      <c r="AV78" s="23" t="s">
        <v>38</v>
      </c>
      <c r="AW78" s="23" t="s">
        <v>38</v>
      </c>
      <c r="AX78" s="23" t="s">
        <v>38</v>
      </c>
      <c r="AY78" s="23" t="s">
        <v>38</v>
      </c>
      <c r="AZ78" s="23" t="s">
        <v>38</v>
      </c>
      <c r="BA78" s="23" t="s">
        <v>38</v>
      </c>
      <c r="BB78" s="23" t="s">
        <v>38</v>
      </c>
      <c r="BC78" s="23" t="s">
        <v>38</v>
      </c>
      <c r="BD78" s="23" t="s">
        <v>38</v>
      </c>
      <c r="BE78" s="23" t="s">
        <v>38</v>
      </c>
      <c r="BF78" s="23" t="s">
        <v>38</v>
      </c>
      <c r="BG78" s="23" t="s">
        <v>38</v>
      </c>
      <c r="BH78" s="23" t="s">
        <v>38</v>
      </c>
      <c r="BI78" s="23" t="s">
        <v>38</v>
      </c>
      <c r="BJ78" s="23" t="s">
        <v>38</v>
      </c>
      <c r="BK78" s="23" t="s">
        <v>38</v>
      </c>
      <c r="BL78" s="38" t="s">
        <v>38</v>
      </c>
      <c r="BM78" s="38" t="s">
        <v>38</v>
      </c>
      <c r="BN78" s="38" t="s">
        <v>38</v>
      </c>
      <c r="BO78" s="38" t="s">
        <v>38</v>
      </c>
      <c r="BP78" s="38" t="s">
        <v>38</v>
      </c>
      <c r="BQ78" s="38" t="s">
        <v>38</v>
      </c>
      <c r="BR78" s="38" t="s">
        <v>38</v>
      </c>
      <c r="BS78" s="38" t="s">
        <v>38</v>
      </c>
      <c r="BT78" s="38" t="s">
        <v>38</v>
      </c>
      <c r="BU78" s="38" t="s">
        <v>38</v>
      </c>
      <c r="BV78" s="38" t="s">
        <v>38</v>
      </c>
      <c r="BW78" s="38" t="s">
        <v>38</v>
      </c>
      <c r="BX78" s="38" t="s">
        <v>38</v>
      </c>
      <c r="BY78" s="69" t="s">
        <v>38</v>
      </c>
      <c r="BZ78" s="69" t="s">
        <v>38</v>
      </c>
      <c r="CA78" s="86" t="s">
        <v>38</v>
      </c>
    </row>
    <row r="79" spans="1:79">
      <c r="A79" s="21">
        <v>58</v>
      </c>
      <c r="B79" s="83">
        <v>254478.967924</v>
      </c>
      <c r="C79" s="83">
        <v>4505639.2194499997</v>
      </c>
      <c r="D79" s="19" t="s">
        <v>38</v>
      </c>
      <c r="E79" s="19" t="s">
        <v>38</v>
      </c>
      <c r="F79" s="19" t="s">
        <v>38</v>
      </c>
      <c r="G79" s="19" t="s">
        <v>38</v>
      </c>
      <c r="H79" s="19" t="s">
        <v>38</v>
      </c>
      <c r="I79" s="19" t="s">
        <v>38</v>
      </c>
      <c r="J79" s="19" t="s">
        <v>38</v>
      </c>
      <c r="K79" s="19" t="s">
        <v>38</v>
      </c>
      <c r="L79" s="19" t="s">
        <v>38</v>
      </c>
      <c r="M79" s="19" t="s">
        <v>38</v>
      </c>
      <c r="N79" s="23" t="s">
        <v>38</v>
      </c>
      <c r="O79" s="23" t="s">
        <v>38</v>
      </c>
      <c r="P79" s="23" t="s">
        <v>38</v>
      </c>
      <c r="Q79" s="23" t="s">
        <v>38</v>
      </c>
      <c r="R79" s="23" t="s">
        <v>38</v>
      </c>
      <c r="S79" s="23" t="s">
        <v>38</v>
      </c>
      <c r="T79" s="23" t="s">
        <v>38</v>
      </c>
      <c r="U79" s="23" t="s">
        <v>38</v>
      </c>
      <c r="V79" s="23" t="s">
        <v>38</v>
      </c>
      <c r="W79" s="23" t="s">
        <v>38</v>
      </c>
      <c r="X79" s="23" t="s">
        <v>38</v>
      </c>
      <c r="Y79" s="23" t="s">
        <v>38</v>
      </c>
      <c r="Z79" s="23" t="s">
        <v>38</v>
      </c>
      <c r="AA79" s="23" t="s">
        <v>38</v>
      </c>
      <c r="AB79" s="23" t="s">
        <v>38</v>
      </c>
      <c r="AC79" s="23" t="s">
        <v>38</v>
      </c>
      <c r="AD79" s="23" t="s">
        <v>38</v>
      </c>
      <c r="AE79" s="23" t="s">
        <v>38</v>
      </c>
      <c r="AF79" s="23" t="s">
        <v>38</v>
      </c>
      <c r="AG79" s="23" t="s">
        <v>38</v>
      </c>
      <c r="AH79" s="23" t="s">
        <v>38</v>
      </c>
      <c r="AI79" s="23" t="s">
        <v>38</v>
      </c>
      <c r="AJ79" s="23" t="s">
        <v>38</v>
      </c>
      <c r="AK79" s="23" t="s">
        <v>38</v>
      </c>
      <c r="AL79" s="23" t="s">
        <v>38</v>
      </c>
      <c r="AM79" s="23" t="s">
        <v>38</v>
      </c>
      <c r="AN79" s="23" t="s">
        <v>38</v>
      </c>
      <c r="AO79" s="23" t="s">
        <v>38</v>
      </c>
      <c r="AP79" s="23" t="s">
        <v>38</v>
      </c>
      <c r="AQ79" s="23" t="s">
        <v>38</v>
      </c>
      <c r="AR79" s="23" t="s">
        <v>38</v>
      </c>
      <c r="AS79" s="23" t="s">
        <v>38</v>
      </c>
      <c r="AT79" s="23" t="s">
        <v>38</v>
      </c>
      <c r="AU79" s="23" t="s">
        <v>38</v>
      </c>
      <c r="AV79" s="23" t="s">
        <v>38</v>
      </c>
      <c r="AW79" s="23" t="s">
        <v>38</v>
      </c>
      <c r="AX79" s="23" t="s">
        <v>38</v>
      </c>
      <c r="AY79" s="23" t="s">
        <v>38</v>
      </c>
      <c r="AZ79" s="23" t="s">
        <v>38</v>
      </c>
      <c r="BA79" s="23" t="s">
        <v>38</v>
      </c>
      <c r="BB79" s="23" t="s">
        <v>38</v>
      </c>
      <c r="BC79" s="23" t="s">
        <v>38</v>
      </c>
      <c r="BD79" s="23" t="s">
        <v>38</v>
      </c>
      <c r="BE79" s="23" t="s">
        <v>38</v>
      </c>
      <c r="BF79" s="23" t="s">
        <v>38</v>
      </c>
      <c r="BG79" s="23" t="s">
        <v>38</v>
      </c>
      <c r="BH79" s="23" t="s">
        <v>38</v>
      </c>
      <c r="BI79" s="23" t="s">
        <v>38</v>
      </c>
      <c r="BJ79" s="23" t="s">
        <v>38</v>
      </c>
      <c r="BK79" s="23" t="s">
        <v>38</v>
      </c>
      <c r="BL79" s="38" t="s">
        <v>38</v>
      </c>
      <c r="BM79" s="38" t="s">
        <v>38</v>
      </c>
      <c r="BN79" s="38" t="s">
        <v>38</v>
      </c>
      <c r="BO79" s="38" t="s">
        <v>38</v>
      </c>
      <c r="BP79" s="38" t="s">
        <v>38</v>
      </c>
      <c r="BQ79" s="38" t="s">
        <v>38</v>
      </c>
      <c r="BR79" s="38" t="s">
        <v>38</v>
      </c>
      <c r="BS79" s="38" t="s">
        <v>38</v>
      </c>
      <c r="BT79" s="38" t="s">
        <v>38</v>
      </c>
      <c r="BU79" s="38" t="s">
        <v>38</v>
      </c>
      <c r="BV79" s="38" t="s">
        <v>38</v>
      </c>
      <c r="BW79" s="38" t="s">
        <v>38</v>
      </c>
      <c r="BX79" s="38" t="s">
        <v>38</v>
      </c>
      <c r="BY79" s="69" t="s">
        <v>38</v>
      </c>
      <c r="BZ79" s="69" t="s">
        <v>38</v>
      </c>
      <c r="CA79" s="86" t="s">
        <v>38</v>
      </c>
    </row>
    <row r="80" spans="1:79">
      <c r="A80" s="21">
        <v>59</v>
      </c>
      <c r="B80" s="83">
        <v>254508.20847300001</v>
      </c>
      <c r="C80" s="83">
        <v>4505675.6492100004</v>
      </c>
      <c r="D80" s="19" t="s">
        <v>38</v>
      </c>
      <c r="E80" s="19" t="s">
        <v>38</v>
      </c>
      <c r="F80" s="19" t="s">
        <v>38</v>
      </c>
      <c r="G80" s="19" t="s">
        <v>38</v>
      </c>
      <c r="H80" s="19" t="s">
        <v>38</v>
      </c>
      <c r="I80" s="19" t="s">
        <v>38</v>
      </c>
      <c r="J80" s="19" t="s">
        <v>38</v>
      </c>
      <c r="K80" s="19" t="s">
        <v>38</v>
      </c>
      <c r="L80" s="19" t="s">
        <v>38</v>
      </c>
      <c r="M80" s="19" t="s">
        <v>38</v>
      </c>
      <c r="N80" s="23" t="s">
        <v>38</v>
      </c>
      <c r="O80" s="23" t="s">
        <v>38</v>
      </c>
      <c r="P80" s="23" t="s">
        <v>38</v>
      </c>
      <c r="Q80" s="23" t="s">
        <v>38</v>
      </c>
      <c r="R80" s="23" t="s">
        <v>38</v>
      </c>
      <c r="S80" s="23" t="s">
        <v>38</v>
      </c>
      <c r="T80" s="23" t="s">
        <v>38</v>
      </c>
      <c r="U80" s="23" t="s">
        <v>38</v>
      </c>
      <c r="V80" s="23" t="s">
        <v>38</v>
      </c>
      <c r="W80" s="23" t="s">
        <v>38</v>
      </c>
      <c r="X80" s="23" t="s">
        <v>38</v>
      </c>
      <c r="Y80" s="23" t="s">
        <v>38</v>
      </c>
      <c r="Z80" s="23" t="s">
        <v>38</v>
      </c>
      <c r="AA80" s="23" t="s">
        <v>38</v>
      </c>
      <c r="AB80" s="23" t="s">
        <v>38</v>
      </c>
      <c r="AC80" s="23" t="s">
        <v>38</v>
      </c>
      <c r="AD80" s="23" t="s">
        <v>38</v>
      </c>
      <c r="AE80" s="23" t="s">
        <v>38</v>
      </c>
      <c r="AF80" s="23" t="s">
        <v>38</v>
      </c>
      <c r="AG80" s="23" t="s">
        <v>38</v>
      </c>
      <c r="AH80" s="23" t="s">
        <v>38</v>
      </c>
      <c r="AI80" s="23" t="s">
        <v>38</v>
      </c>
      <c r="AJ80" s="23" t="s">
        <v>38</v>
      </c>
      <c r="AK80" s="23" t="s">
        <v>38</v>
      </c>
      <c r="AL80" s="23" t="s">
        <v>38</v>
      </c>
      <c r="AM80" s="23" t="s">
        <v>38</v>
      </c>
      <c r="AN80" s="23" t="s">
        <v>38</v>
      </c>
      <c r="AO80" s="23" t="s">
        <v>38</v>
      </c>
      <c r="AP80" s="23" t="s">
        <v>38</v>
      </c>
      <c r="AQ80" s="23" t="s">
        <v>38</v>
      </c>
      <c r="AR80" s="23" t="s">
        <v>38</v>
      </c>
      <c r="AS80" s="23" t="s">
        <v>38</v>
      </c>
      <c r="AT80" s="23" t="s">
        <v>38</v>
      </c>
      <c r="AU80" s="23" t="s">
        <v>38</v>
      </c>
      <c r="AV80" s="23" t="s">
        <v>38</v>
      </c>
      <c r="AW80" s="23" t="s">
        <v>38</v>
      </c>
      <c r="AX80" s="23" t="s">
        <v>38</v>
      </c>
      <c r="AY80" s="23" t="s">
        <v>38</v>
      </c>
      <c r="AZ80" s="23" t="s">
        <v>38</v>
      </c>
      <c r="BA80" s="23" t="s">
        <v>38</v>
      </c>
      <c r="BB80" s="23" t="s">
        <v>38</v>
      </c>
      <c r="BC80" s="23" t="s">
        <v>38</v>
      </c>
      <c r="BD80" s="23" t="s">
        <v>38</v>
      </c>
      <c r="BE80" s="23" t="s">
        <v>38</v>
      </c>
      <c r="BF80" s="23" t="s">
        <v>38</v>
      </c>
      <c r="BG80" s="23" t="s">
        <v>38</v>
      </c>
      <c r="BH80" s="23" t="s">
        <v>38</v>
      </c>
      <c r="BI80" s="23" t="s">
        <v>38</v>
      </c>
      <c r="BJ80" s="23" t="s">
        <v>38</v>
      </c>
      <c r="BK80" s="23" t="s">
        <v>38</v>
      </c>
      <c r="BL80" s="38" t="s">
        <v>38</v>
      </c>
      <c r="BM80" s="38" t="s">
        <v>38</v>
      </c>
      <c r="BN80" s="38" t="s">
        <v>38</v>
      </c>
      <c r="BO80" s="38" t="s">
        <v>38</v>
      </c>
      <c r="BP80" s="38" t="s">
        <v>38</v>
      </c>
      <c r="BQ80" s="38" t="s">
        <v>38</v>
      </c>
      <c r="BR80" s="38" t="s">
        <v>38</v>
      </c>
      <c r="BS80" s="38" t="s">
        <v>38</v>
      </c>
      <c r="BT80" s="38" t="s">
        <v>38</v>
      </c>
      <c r="BU80" s="38" t="s">
        <v>38</v>
      </c>
      <c r="BV80" s="38" t="s">
        <v>38</v>
      </c>
      <c r="BW80" s="38" t="s">
        <v>38</v>
      </c>
      <c r="BX80" s="38" t="s">
        <v>38</v>
      </c>
      <c r="BY80" s="69" t="s">
        <v>38</v>
      </c>
      <c r="BZ80" s="69" t="s">
        <v>38</v>
      </c>
      <c r="CA80" s="86" t="s">
        <v>38</v>
      </c>
    </row>
    <row r="81" spans="1:79">
      <c r="A81" s="21">
        <v>60</v>
      </c>
      <c r="B81" s="82">
        <v>254489.42741900001</v>
      </c>
      <c r="C81" s="82">
        <v>4505627.2146600001</v>
      </c>
      <c r="D81" s="19" t="s">
        <v>38</v>
      </c>
      <c r="E81" s="19" t="s">
        <v>38</v>
      </c>
      <c r="F81" s="19" t="s">
        <v>38</v>
      </c>
      <c r="G81" s="19" t="s">
        <v>38</v>
      </c>
      <c r="H81" s="19" t="s">
        <v>38</v>
      </c>
      <c r="I81" s="19" t="s">
        <v>38</v>
      </c>
      <c r="J81" s="19" t="s">
        <v>38</v>
      </c>
      <c r="K81" s="19" t="s">
        <v>38</v>
      </c>
      <c r="L81" s="19" t="s">
        <v>38</v>
      </c>
      <c r="M81" s="19" t="s">
        <v>38</v>
      </c>
      <c r="N81" s="23" t="s">
        <v>38</v>
      </c>
      <c r="O81" s="23" t="s">
        <v>38</v>
      </c>
      <c r="P81" s="23" t="s">
        <v>38</v>
      </c>
      <c r="Q81" s="23" t="s">
        <v>38</v>
      </c>
      <c r="R81" s="23" t="s">
        <v>38</v>
      </c>
      <c r="S81" s="23" t="s">
        <v>38</v>
      </c>
      <c r="T81" s="23" t="s">
        <v>38</v>
      </c>
      <c r="U81" s="23" t="s">
        <v>38</v>
      </c>
      <c r="V81" s="23" t="s">
        <v>38</v>
      </c>
      <c r="W81" s="23" t="s">
        <v>38</v>
      </c>
      <c r="X81" s="23" t="s">
        <v>38</v>
      </c>
      <c r="Y81" s="23" t="s">
        <v>38</v>
      </c>
      <c r="Z81" s="23" t="s">
        <v>38</v>
      </c>
      <c r="AA81" s="23" t="s">
        <v>38</v>
      </c>
      <c r="AB81" s="23" t="s">
        <v>38</v>
      </c>
      <c r="AC81" s="23" t="s">
        <v>38</v>
      </c>
      <c r="AD81" s="23" t="s">
        <v>38</v>
      </c>
      <c r="AE81" s="23" t="s">
        <v>38</v>
      </c>
      <c r="AF81" s="23" t="s">
        <v>38</v>
      </c>
      <c r="AG81" s="23" t="s">
        <v>38</v>
      </c>
      <c r="AH81" s="23" t="s">
        <v>38</v>
      </c>
      <c r="AI81" s="23" t="s">
        <v>38</v>
      </c>
      <c r="AJ81" s="23" t="s">
        <v>38</v>
      </c>
      <c r="AK81" s="23" t="s">
        <v>38</v>
      </c>
      <c r="AL81" s="23" t="s">
        <v>38</v>
      </c>
      <c r="AM81" s="23" t="s">
        <v>38</v>
      </c>
      <c r="AN81" s="23" t="s">
        <v>38</v>
      </c>
      <c r="AO81" s="23" t="s">
        <v>38</v>
      </c>
      <c r="AP81" s="23" t="s">
        <v>38</v>
      </c>
      <c r="AQ81" s="23" t="s">
        <v>38</v>
      </c>
      <c r="AR81" s="23" t="s">
        <v>38</v>
      </c>
      <c r="AS81" s="23" t="s">
        <v>38</v>
      </c>
      <c r="AT81" s="23" t="s">
        <v>38</v>
      </c>
      <c r="AU81" s="23" t="s">
        <v>38</v>
      </c>
      <c r="AV81" s="23" t="s">
        <v>38</v>
      </c>
      <c r="AW81" s="23" t="s">
        <v>38</v>
      </c>
      <c r="AX81" s="23" t="s">
        <v>38</v>
      </c>
      <c r="AY81" s="23" t="s">
        <v>38</v>
      </c>
      <c r="AZ81" s="23" t="s">
        <v>38</v>
      </c>
      <c r="BA81" s="23" t="s">
        <v>38</v>
      </c>
      <c r="BB81" s="23" t="s">
        <v>38</v>
      </c>
      <c r="BC81" s="23" t="s">
        <v>38</v>
      </c>
      <c r="BD81" s="23" t="s">
        <v>38</v>
      </c>
      <c r="BE81" s="23" t="s">
        <v>38</v>
      </c>
      <c r="BF81" s="23" t="s">
        <v>38</v>
      </c>
      <c r="BG81" s="23" t="s">
        <v>38</v>
      </c>
      <c r="BH81" s="23" t="s">
        <v>38</v>
      </c>
      <c r="BI81" s="23" t="s">
        <v>38</v>
      </c>
      <c r="BJ81" s="23" t="s">
        <v>38</v>
      </c>
      <c r="BK81" s="23" t="s">
        <v>38</v>
      </c>
      <c r="BL81" s="38" t="s">
        <v>38</v>
      </c>
      <c r="BM81" s="38" t="s">
        <v>38</v>
      </c>
      <c r="BN81" s="38" t="s">
        <v>38</v>
      </c>
      <c r="BO81" s="38" t="s">
        <v>38</v>
      </c>
      <c r="BP81" s="38" t="s">
        <v>38</v>
      </c>
      <c r="BQ81" s="38" t="s">
        <v>38</v>
      </c>
      <c r="BR81" s="38" t="s">
        <v>38</v>
      </c>
      <c r="BS81" s="38" t="s">
        <v>38</v>
      </c>
      <c r="BT81" s="38" t="s">
        <v>38</v>
      </c>
      <c r="BU81" s="38" t="s">
        <v>38</v>
      </c>
      <c r="BV81" s="38" t="s">
        <v>38</v>
      </c>
      <c r="BW81" s="38" t="s">
        <v>38</v>
      </c>
      <c r="BX81" s="38" t="s">
        <v>38</v>
      </c>
      <c r="BY81" s="85" t="s">
        <v>38</v>
      </c>
      <c r="BZ81" s="85" t="s">
        <v>38</v>
      </c>
      <c r="CA81" s="86" t="s">
        <v>38</v>
      </c>
    </row>
    <row r="82" spans="1:79">
      <c r="A82" s="21" t="s">
        <v>26</v>
      </c>
      <c r="B82" s="82">
        <v>254490.50914000001</v>
      </c>
      <c r="C82" s="82">
        <v>4505628.04213</v>
      </c>
      <c r="D82" s="19" t="s">
        <v>38</v>
      </c>
      <c r="E82" s="19" t="s">
        <v>38</v>
      </c>
      <c r="F82" s="19" t="s">
        <v>38</v>
      </c>
      <c r="G82" s="19" t="s">
        <v>38</v>
      </c>
      <c r="H82" s="19" t="s">
        <v>38</v>
      </c>
      <c r="I82" s="19" t="s">
        <v>38</v>
      </c>
      <c r="J82" s="19" t="s">
        <v>38</v>
      </c>
      <c r="K82" s="19" t="s">
        <v>38</v>
      </c>
      <c r="L82" s="19" t="s">
        <v>38</v>
      </c>
      <c r="M82" s="19" t="s">
        <v>38</v>
      </c>
      <c r="N82" s="23" t="s">
        <v>38</v>
      </c>
      <c r="O82" s="23" t="s">
        <v>38</v>
      </c>
      <c r="P82" s="23" t="s">
        <v>38</v>
      </c>
      <c r="Q82" s="23" t="s">
        <v>38</v>
      </c>
      <c r="R82" s="23" t="s">
        <v>38</v>
      </c>
      <c r="S82" s="23" t="s">
        <v>38</v>
      </c>
      <c r="T82" s="23" t="s">
        <v>38</v>
      </c>
      <c r="U82" s="23" t="s">
        <v>38</v>
      </c>
      <c r="V82" s="23" t="s">
        <v>38</v>
      </c>
      <c r="W82" s="23" t="s">
        <v>38</v>
      </c>
      <c r="X82" s="23" t="s">
        <v>38</v>
      </c>
      <c r="Y82" s="23" t="s">
        <v>38</v>
      </c>
      <c r="Z82" s="23" t="s">
        <v>38</v>
      </c>
      <c r="AA82" s="23" t="s">
        <v>38</v>
      </c>
      <c r="AB82" s="23" t="s">
        <v>38</v>
      </c>
      <c r="AC82" s="23" t="s">
        <v>38</v>
      </c>
      <c r="AD82" s="23" t="s">
        <v>38</v>
      </c>
      <c r="AE82" s="23" t="s">
        <v>38</v>
      </c>
      <c r="AF82" s="23" t="s">
        <v>38</v>
      </c>
      <c r="AG82" s="23" t="s">
        <v>38</v>
      </c>
      <c r="AH82" s="23" t="s">
        <v>38</v>
      </c>
      <c r="AI82" s="23" t="s">
        <v>38</v>
      </c>
      <c r="AJ82" s="23" t="s">
        <v>38</v>
      </c>
      <c r="AK82" s="23" t="s">
        <v>38</v>
      </c>
      <c r="AL82" s="23" t="s">
        <v>38</v>
      </c>
      <c r="AM82" s="23" t="s">
        <v>38</v>
      </c>
      <c r="AN82" s="23" t="s">
        <v>38</v>
      </c>
      <c r="AO82" s="23" t="s">
        <v>38</v>
      </c>
      <c r="AP82" s="23" t="s">
        <v>38</v>
      </c>
      <c r="AQ82" s="23" t="s">
        <v>38</v>
      </c>
      <c r="AR82" s="23" t="s">
        <v>38</v>
      </c>
      <c r="AS82" s="23" t="s">
        <v>38</v>
      </c>
      <c r="AT82" s="23" t="s">
        <v>38</v>
      </c>
      <c r="AU82" s="23" t="s">
        <v>38</v>
      </c>
      <c r="AV82" s="23" t="s">
        <v>38</v>
      </c>
      <c r="AW82" s="23" t="s">
        <v>38</v>
      </c>
      <c r="AX82" s="23" t="s">
        <v>38</v>
      </c>
      <c r="AY82" s="23" t="s">
        <v>38</v>
      </c>
      <c r="AZ82" s="23" t="s">
        <v>38</v>
      </c>
      <c r="BA82" s="23" t="s">
        <v>38</v>
      </c>
      <c r="BB82" s="23" t="s">
        <v>38</v>
      </c>
      <c r="BC82" s="23" t="s">
        <v>38</v>
      </c>
      <c r="BD82" s="23" t="s">
        <v>38</v>
      </c>
      <c r="BE82" s="23" t="s">
        <v>38</v>
      </c>
      <c r="BF82" s="23" t="s">
        <v>38</v>
      </c>
      <c r="BG82" s="23" t="s">
        <v>38</v>
      </c>
      <c r="BH82" s="23" t="s">
        <v>38</v>
      </c>
      <c r="BI82" s="23" t="s">
        <v>38</v>
      </c>
      <c r="BJ82" s="23" t="s">
        <v>38</v>
      </c>
      <c r="BK82" s="23" t="s">
        <v>38</v>
      </c>
      <c r="BL82" s="38" t="s">
        <v>38</v>
      </c>
      <c r="BM82" s="38" t="s">
        <v>38</v>
      </c>
      <c r="BN82" s="38" t="s">
        <v>38</v>
      </c>
      <c r="BO82" s="38" t="s">
        <v>38</v>
      </c>
      <c r="BP82" s="38" t="s">
        <v>38</v>
      </c>
      <c r="BQ82" s="38" t="s">
        <v>38</v>
      </c>
      <c r="BR82" s="38" t="s">
        <v>38</v>
      </c>
      <c r="BS82" s="38" t="s">
        <v>38</v>
      </c>
      <c r="BT82" s="38" t="s">
        <v>38</v>
      </c>
      <c r="BU82" s="38" t="s">
        <v>38</v>
      </c>
      <c r="BV82" s="38" t="s">
        <v>38</v>
      </c>
      <c r="BW82" s="38" t="s">
        <v>38</v>
      </c>
      <c r="BX82" s="38" t="s">
        <v>38</v>
      </c>
      <c r="BY82" s="85" t="s">
        <v>38</v>
      </c>
      <c r="BZ82" s="84" t="s">
        <v>38</v>
      </c>
      <c r="CA82" s="86" t="s">
        <v>38</v>
      </c>
    </row>
    <row r="83" spans="1:79">
      <c r="A83" s="21" t="s">
        <v>27</v>
      </c>
      <c r="B83" s="82">
        <v>254490.34821900001</v>
      </c>
      <c r="C83" s="82">
        <v>4505626.1343099996</v>
      </c>
      <c r="D83" s="19" t="s">
        <v>38</v>
      </c>
      <c r="E83" s="19" t="s">
        <v>38</v>
      </c>
      <c r="F83" s="19" t="s">
        <v>38</v>
      </c>
      <c r="G83" s="19" t="s">
        <v>38</v>
      </c>
      <c r="H83" s="19" t="s">
        <v>38</v>
      </c>
      <c r="I83" s="19" t="s">
        <v>38</v>
      </c>
      <c r="J83" s="19" t="s">
        <v>38</v>
      </c>
      <c r="K83" s="19" t="s">
        <v>38</v>
      </c>
      <c r="L83" s="19" t="s">
        <v>38</v>
      </c>
      <c r="M83" s="19" t="s">
        <v>38</v>
      </c>
      <c r="N83" s="23" t="s">
        <v>38</v>
      </c>
      <c r="O83" s="23" t="s">
        <v>38</v>
      </c>
      <c r="P83" s="23" t="s">
        <v>38</v>
      </c>
      <c r="Q83" s="23" t="s">
        <v>38</v>
      </c>
      <c r="R83" s="23" t="s">
        <v>38</v>
      </c>
      <c r="S83" s="23" t="s">
        <v>38</v>
      </c>
      <c r="T83" s="23" t="s">
        <v>38</v>
      </c>
      <c r="U83" s="23" t="s">
        <v>38</v>
      </c>
      <c r="V83" s="23" t="s">
        <v>38</v>
      </c>
      <c r="W83" s="23" t="s">
        <v>38</v>
      </c>
      <c r="X83" s="23" t="s">
        <v>38</v>
      </c>
      <c r="Y83" s="23" t="s">
        <v>38</v>
      </c>
      <c r="Z83" s="23" t="s">
        <v>38</v>
      </c>
      <c r="AA83" s="23" t="s">
        <v>38</v>
      </c>
      <c r="AB83" s="23" t="s">
        <v>38</v>
      </c>
      <c r="AC83" s="23" t="s">
        <v>38</v>
      </c>
      <c r="AD83" s="23" t="s">
        <v>38</v>
      </c>
      <c r="AE83" s="23" t="s">
        <v>38</v>
      </c>
      <c r="AF83" s="23" t="s">
        <v>38</v>
      </c>
      <c r="AG83" s="23" t="s">
        <v>38</v>
      </c>
      <c r="AH83" s="23" t="s">
        <v>38</v>
      </c>
      <c r="AI83" s="23" t="s">
        <v>38</v>
      </c>
      <c r="AJ83" s="23" t="s">
        <v>38</v>
      </c>
      <c r="AK83" s="23" t="s">
        <v>38</v>
      </c>
      <c r="AL83" s="23" t="s">
        <v>38</v>
      </c>
      <c r="AM83" s="23" t="s">
        <v>38</v>
      </c>
      <c r="AN83" s="23" t="s">
        <v>38</v>
      </c>
      <c r="AO83" s="23" t="s">
        <v>38</v>
      </c>
      <c r="AP83" s="23" t="s">
        <v>38</v>
      </c>
      <c r="AQ83" s="23" t="s">
        <v>38</v>
      </c>
      <c r="AR83" s="23" t="s">
        <v>38</v>
      </c>
      <c r="AS83" s="23" t="s">
        <v>38</v>
      </c>
      <c r="AT83" s="23" t="s">
        <v>38</v>
      </c>
      <c r="AU83" s="23" t="s">
        <v>38</v>
      </c>
      <c r="AV83" s="23" t="s">
        <v>38</v>
      </c>
      <c r="AW83" s="23" t="s">
        <v>38</v>
      </c>
      <c r="AX83" s="23" t="s">
        <v>38</v>
      </c>
      <c r="AY83" s="23" t="s">
        <v>38</v>
      </c>
      <c r="AZ83" s="23" t="s">
        <v>38</v>
      </c>
      <c r="BA83" s="23" t="s">
        <v>38</v>
      </c>
      <c r="BB83" s="23" t="s">
        <v>38</v>
      </c>
      <c r="BC83" s="23" t="s">
        <v>38</v>
      </c>
      <c r="BD83" s="23" t="s">
        <v>38</v>
      </c>
      <c r="BE83" s="23" t="s">
        <v>38</v>
      </c>
      <c r="BF83" s="23" t="s">
        <v>38</v>
      </c>
      <c r="BG83" s="23" t="s">
        <v>38</v>
      </c>
      <c r="BH83" s="23" t="s">
        <v>38</v>
      </c>
      <c r="BI83" s="23" t="s">
        <v>38</v>
      </c>
      <c r="BJ83" s="23" t="s">
        <v>38</v>
      </c>
      <c r="BK83" s="23" t="s">
        <v>38</v>
      </c>
      <c r="BL83" s="38" t="s">
        <v>38</v>
      </c>
      <c r="BM83" s="38" t="s">
        <v>38</v>
      </c>
      <c r="BN83" s="38" t="s">
        <v>38</v>
      </c>
      <c r="BO83" s="38" t="s">
        <v>38</v>
      </c>
      <c r="BP83" s="38" t="s">
        <v>38</v>
      </c>
      <c r="BQ83" s="38" t="s">
        <v>38</v>
      </c>
      <c r="BR83" s="38" t="s">
        <v>38</v>
      </c>
      <c r="BS83" s="38" t="s">
        <v>38</v>
      </c>
      <c r="BT83" s="38" t="s">
        <v>38</v>
      </c>
      <c r="BU83" s="38" t="s">
        <v>38</v>
      </c>
      <c r="BV83" s="38" t="s">
        <v>38</v>
      </c>
      <c r="BW83" s="38" t="s">
        <v>38</v>
      </c>
      <c r="BX83" s="38" t="s">
        <v>38</v>
      </c>
      <c r="BY83" s="85" t="s">
        <v>38</v>
      </c>
      <c r="BZ83" s="85" t="s">
        <v>38</v>
      </c>
      <c r="CA83" s="86" t="s">
        <v>38</v>
      </c>
    </row>
    <row r="84" spans="1:79">
      <c r="A84" s="21" t="s">
        <v>28</v>
      </c>
      <c r="B84" s="82">
        <v>254488.395021</v>
      </c>
      <c r="C84" s="82">
        <v>4505626.3354900004</v>
      </c>
      <c r="D84" s="19" t="s">
        <v>38</v>
      </c>
      <c r="E84" s="19" t="s">
        <v>38</v>
      </c>
      <c r="F84" s="19" t="s">
        <v>38</v>
      </c>
      <c r="G84" s="19" t="s">
        <v>38</v>
      </c>
      <c r="H84" s="19" t="s">
        <v>38</v>
      </c>
      <c r="I84" s="19" t="s">
        <v>38</v>
      </c>
      <c r="J84" s="19" t="s">
        <v>38</v>
      </c>
      <c r="K84" s="19" t="s">
        <v>38</v>
      </c>
      <c r="L84" s="19" t="s">
        <v>38</v>
      </c>
      <c r="M84" s="19" t="s">
        <v>38</v>
      </c>
      <c r="N84" s="23" t="s">
        <v>38</v>
      </c>
      <c r="O84" s="23" t="s">
        <v>38</v>
      </c>
      <c r="P84" s="23" t="s">
        <v>38</v>
      </c>
      <c r="Q84" s="23" t="s">
        <v>38</v>
      </c>
      <c r="R84" s="23" t="s">
        <v>38</v>
      </c>
      <c r="S84" s="23" t="s">
        <v>38</v>
      </c>
      <c r="T84" s="23" t="s">
        <v>38</v>
      </c>
      <c r="U84" s="23" t="s">
        <v>38</v>
      </c>
      <c r="V84" s="23" t="s">
        <v>38</v>
      </c>
      <c r="W84" s="23" t="s">
        <v>38</v>
      </c>
      <c r="X84" s="23" t="s">
        <v>38</v>
      </c>
      <c r="Y84" s="23" t="s">
        <v>38</v>
      </c>
      <c r="Z84" s="23" t="s">
        <v>38</v>
      </c>
      <c r="AA84" s="23" t="s">
        <v>38</v>
      </c>
      <c r="AB84" s="23" t="s">
        <v>38</v>
      </c>
      <c r="AC84" s="23" t="s">
        <v>38</v>
      </c>
      <c r="AD84" s="23" t="s">
        <v>38</v>
      </c>
      <c r="AE84" s="23" t="s">
        <v>38</v>
      </c>
      <c r="AF84" s="23" t="s">
        <v>38</v>
      </c>
      <c r="AG84" s="23" t="s">
        <v>38</v>
      </c>
      <c r="AH84" s="23" t="s">
        <v>38</v>
      </c>
      <c r="AI84" s="23" t="s">
        <v>38</v>
      </c>
      <c r="AJ84" s="23" t="s">
        <v>38</v>
      </c>
      <c r="AK84" s="23" t="s">
        <v>38</v>
      </c>
      <c r="AL84" s="23" t="s">
        <v>38</v>
      </c>
      <c r="AM84" s="23" t="s">
        <v>38</v>
      </c>
      <c r="AN84" s="23" t="s">
        <v>38</v>
      </c>
      <c r="AO84" s="23" t="s">
        <v>38</v>
      </c>
      <c r="AP84" s="23" t="s">
        <v>38</v>
      </c>
      <c r="AQ84" s="23" t="s">
        <v>38</v>
      </c>
      <c r="AR84" s="23" t="s">
        <v>38</v>
      </c>
      <c r="AS84" s="23" t="s">
        <v>38</v>
      </c>
      <c r="AT84" s="23" t="s">
        <v>38</v>
      </c>
      <c r="AU84" s="23" t="s">
        <v>38</v>
      </c>
      <c r="AV84" s="23" t="s">
        <v>38</v>
      </c>
      <c r="AW84" s="23" t="s">
        <v>38</v>
      </c>
      <c r="AX84" s="23" t="s">
        <v>38</v>
      </c>
      <c r="AY84" s="51">
        <v>0.23400000000000001</v>
      </c>
      <c r="AZ84" s="51">
        <v>0.23200000000000001</v>
      </c>
      <c r="BA84" s="23" t="s">
        <v>38</v>
      </c>
      <c r="BB84" s="23" t="s">
        <v>38</v>
      </c>
      <c r="BC84" s="23" t="s">
        <v>38</v>
      </c>
      <c r="BD84" s="23" t="s">
        <v>38</v>
      </c>
      <c r="BE84" s="23" t="s">
        <v>38</v>
      </c>
      <c r="BF84" s="23" t="s">
        <v>38</v>
      </c>
      <c r="BG84" s="23" t="s">
        <v>38</v>
      </c>
      <c r="BH84" s="23" t="s">
        <v>38</v>
      </c>
      <c r="BI84" s="23" t="s">
        <v>38</v>
      </c>
      <c r="BJ84" s="23" t="s">
        <v>38</v>
      </c>
      <c r="BK84" s="23" t="s">
        <v>38</v>
      </c>
      <c r="BL84" s="38" t="s">
        <v>38</v>
      </c>
      <c r="BM84" s="38" t="s">
        <v>38</v>
      </c>
      <c r="BN84" s="38" t="s">
        <v>38</v>
      </c>
      <c r="BO84" s="38" t="s">
        <v>38</v>
      </c>
      <c r="BP84" s="38" t="s">
        <v>38</v>
      </c>
      <c r="BQ84" s="38" t="s">
        <v>38</v>
      </c>
      <c r="BR84" s="38" t="s">
        <v>38</v>
      </c>
      <c r="BS84" s="38" t="s">
        <v>38</v>
      </c>
      <c r="BT84" s="38" t="s">
        <v>38</v>
      </c>
      <c r="BU84" s="38" t="s">
        <v>38</v>
      </c>
      <c r="BV84" s="38" t="s">
        <v>38</v>
      </c>
      <c r="BW84" s="38" t="s">
        <v>38</v>
      </c>
      <c r="BX84" s="38" t="s">
        <v>38</v>
      </c>
      <c r="BY84" s="85" t="s">
        <v>38</v>
      </c>
      <c r="BZ84" s="85" t="s">
        <v>38</v>
      </c>
      <c r="CA84" s="86" t="s">
        <v>38</v>
      </c>
    </row>
    <row r="85" spans="1:79">
      <c r="A85" s="21" t="s">
        <v>29</v>
      </c>
      <c r="B85" s="82">
        <v>254488.63037900001</v>
      </c>
      <c r="C85" s="82">
        <v>4505628.1816299995</v>
      </c>
      <c r="D85" s="19" t="s">
        <v>38</v>
      </c>
      <c r="E85" s="19" t="s">
        <v>38</v>
      </c>
      <c r="F85" s="19" t="s">
        <v>38</v>
      </c>
      <c r="G85" s="19" t="s">
        <v>38</v>
      </c>
      <c r="H85" s="19" t="s">
        <v>38</v>
      </c>
      <c r="I85" s="19" t="s">
        <v>38</v>
      </c>
      <c r="J85" s="19" t="s">
        <v>38</v>
      </c>
      <c r="K85" s="19" t="s">
        <v>38</v>
      </c>
      <c r="L85" s="19" t="s">
        <v>38</v>
      </c>
      <c r="M85" s="19" t="s">
        <v>38</v>
      </c>
      <c r="N85" s="23" t="s">
        <v>38</v>
      </c>
      <c r="O85" s="23" t="s">
        <v>38</v>
      </c>
      <c r="P85" s="23" t="s">
        <v>38</v>
      </c>
      <c r="Q85" s="23" t="s">
        <v>38</v>
      </c>
      <c r="R85" s="23" t="s">
        <v>38</v>
      </c>
      <c r="S85" s="23" t="s">
        <v>38</v>
      </c>
      <c r="T85" s="23" t="s">
        <v>38</v>
      </c>
      <c r="U85" s="23" t="s">
        <v>38</v>
      </c>
      <c r="V85" s="23" t="s">
        <v>38</v>
      </c>
      <c r="W85" s="23" t="s">
        <v>38</v>
      </c>
      <c r="X85" s="23" t="s">
        <v>38</v>
      </c>
      <c r="Y85" s="23" t="s">
        <v>38</v>
      </c>
      <c r="Z85" s="23" t="s">
        <v>38</v>
      </c>
      <c r="AA85" s="23" t="s">
        <v>38</v>
      </c>
      <c r="AB85" s="23" t="s">
        <v>38</v>
      </c>
      <c r="AC85" s="23" t="s">
        <v>38</v>
      </c>
      <c r="AD85" s="23" t="s">
        <v>38</v>
      </c>
      <c r="AE85" s="23" t="s">
        <v>38</v>
      </c>
      <c r="AF85" s="23" t="s">
        <v>38</v>
      </c>
      <c r="AG85" s="23" t="s">
        <v>38</v>
      </c>
      <c r="AH85" s="23" t="s">
        <v>38</v>
      </c>
      <c r="AI85" s="23" t="s">
        <v>38</v>
      </c>
      <c r="AJ85" s="23" t="s">
        <v>38</v>
      </c>
      <c r="AK85" s="23" t="s">
        <v>38</v>
      </c>
      <c r="AL85" s="23" t="s">
        <v>38</v>
      </c>
      <c r="AM85" s="23" t="s">
        <v>38</v>
      </c>
      <c r="AN85" s="23" t="s">
        <v>38</v>
      </c>
      <c r="AO85" s="23" t="s">
        <v>38</v>
      </c>
      <c r="AP85" s="23" t="s">
        <v>38</v>
      </c>
      <c r="AQ85" s="23" t="s">
        <v>38</v>
      </c>
      <c r="AR85" s="23" t="s">
        <v>38</v>
      </c>
      <c r="AS85" s="23" t="s">
        <v>38</v>
      </c>
      <c r="AT85" s="23" t="s">
        <v>38</v>
      </c>
      <c r="AU85" s="23" t="s">
        <v>38</v>
      </c>
      <c r="AV85" s="23" t="s">
        <v>38</v>
      </c>
      <c r="AW85" s="23" t="s">
        <v>38</v>
      </c>
      <c r="AX85" s="23" t="s">
        <v>38</v>
      </c>
      <c r="AY85" s="51">
        <v>0.222</v>
      </c>
      <c r="AZ85" s="51">
        <v>0.16800000000000001</v>
      </c>
      <c r="BA85" s="51">
        <v>0.24299999999999999</v>
      </c>
      <c r="BB85" s="23" t="s">
        <v>38</v>
      </c>
      <c r="BC85" s="23" t="s">
        <v>38</v>
      </c>
      <c r="BD85" s="23" t="s">
        <v>38</v>
      </c>
      <c r="BE85" s="23" t="s">
        <v>38</v>
      </c>
      <c r="BF85" s="23" t="s">
        <v>38</v>
      </c>
      <c r="BG85" s="23" t="s">
        <v>38</v>
      </c>
      <c r="BH85" s="23" t="s">
        <v>38</v>
      </c>
      <c r="BI85" s="23" t="s">
        <v>38</v>
      </c>
      <c r="BJ85" s="23" t="s">
        <v>38</v>
      </c>
      <c r="BK85" s="23" t="s">
        <v>38</v>
      </c>
      <c r="BL85" s="38" t="s">
        <v>38</v>
      </c>
      <c r="BM85" s="38" t="s">
        <v>38</v>
      </c>
      <c r="BN85" s="38" t="s">
        <v>38</v>
      </c>
      <c r="BO85" s="38" t="s">
        <v>38</v>
      </c>
      <c r="BP85" s="38" t="s">
        <v>38</v>
      </c>
      <c r="BQ85" s="38" t="s">
        <v>38</v>
      </c>
      <c r="BR85" s="38" t="s">
        <v>38</v>
      </c>
      <c r="BS85" s="38" t="s">
        <v>38</v>
      </c>
      <c r="BT85" s="38" t="s">
        <v>38</v>
      </c>
      <c r="BU85" s="38" t="s">
        <v>38</v>
      </c>
      <c r="BV85" s="38" t="s">
        <v>38</v>
      </c>
      <c r="BW85" s="38" t="s">
        <v>38</v>
      </c>
      <c r="BX85" s="38" t="s">
        <v>38</v>
      </c>
      <c r="BY85" s="85" t="s">
        <v>38</v>
      </c>
      <c r="BZ85" s="85" t="s">
        <v>38</v>
      </c>
      <c r="CA85" s="86" t="s">
        <v>38</v>
      </c>
    </row>
    <row r="86" spans="1:79">
      <c r="A86" s="21">
        <v>61</v>
      </c>
      <c r="B86" s="82">
        <v>254539.52779299999</v>
      </c>
      <c r="C86" s="82">
        <v>4505618.9177599996</v>
      </c>
      <c r="D86" s="19" t="s">
        <v>38</v>
      </c>
      <c r="E86" s="19">
        <v>0.28699999999999998</v>
      </c>
      <c r="F86" s="19">
        <v>0.29499999999999998</v>
      </c>
      <c r="G86" s="19">
        <v>0.29149999999999998</v>
      </c>
      <c r="H86" s="19">
        <v>0.26350000000000001</v>
      </c>
      <c r="I86" s="19">
        <v>0.253</v>
      </c>
      <c r="J86" s="19">
        <v>0.2185</v>
      </c>
      <c r="K86" s="19">
        <v>0.192</v>
      </c>
      <c r="L86" s="19">
        <v>0.20749999999999999</v>
      </c>
      <c r="M86" s="19" t="s">
        <v>38</v>
      </c>
      <c r="N86" s="23" t="s">
        <v>38</v>
      </c>
      <c r="O86" s="16">
        <v>0.1835</v>
      </c>
      <c r="P86" s="23" t="s">
        <v>38</v>
      </c>
      <c r="Q86" s="23" t="s">
        <v>38</v>
      </c>
      <c r="R86" s="16">
        <v>0.124</v>
      </c>
      <c r="S86" s="23" t="s">
        <v>38</v>
      </c>
      <c r="T86" s="51">
        <v>0.40600000000000003</v>
      </c>
      <c r="U86" s="51">
        <v>0.30499999999999999</v>
      </c>
      <c r="V86" s="51">
        <v>0.29499999999999998</v>
      </c>
      <c r="W86" s="51">
        <v>0.33900000000000002</v>
      </c>
      <c r="X86" s="51">
        <v>0.30299999999999999</v>
      </c>
      <c r="Y86" s="51">
        <v>0.29399999999999998</v>
      </c>
      <c r="Z86" s="51">
        <v>0.29099999999999998</v>
      </c>
      <c r="AA86" s="51">
        <v>0.29699999999999999</v>
      </c>
      <c r="AB86" s="51">
        <v>0.30099999999999999</v>
      </c>
      <c r="AC86" s="51">
        <v>0.29099999999999998</v>
      </c>
      <c r="AD86" s="51">
        <v>0.29799999999999999</v>
      </c>
      <c r="AE86" s="51">
        <v>0.24</v>
      </c>
      <c r="AF86" s="51">
        <v>0.223</v>
      </c>
      <c r="AG86" s="51">
        <v>0.20799999999999999</v>
      </c>
      <c r="AH86" s="51">
        <v>0.19600000000000001</v>
      </c>
      <c r="AI86" s="51">
        <v>0.23100000000000001</v>
      </c>
      <c r="AJ86" s="51">
        <v>0.20799999999999999</v>
      </c>
      <c r="AK86" s="51">
        <v>0.189</v>
      </c>
      <c r="AL86" s="51">
        <v>0.30499999999999999</v>
      </c>
      <c r="AM86" s="51">
        <v>0.38200000000000001</v>
      </c>
      <c r="AN86" s="51">
        <v>0.27100000000000002</v>
      </c>
      <c r="AO86" s="51">
        <v>0.2</v>
      </c>
      <c r="AP86" s="51">
        <v>0.32700000000000001</v>
      </c>
      <c r="AQ86" s="51">
        <v>0.26</v>
      </c>
      <c r="AR86" s="51">
        <v>0.252</v>
      </c>
      <c r="AS86" s="51" t="s">
        <v>38</v>
      </c>
      <c r="AT86" s="51">
        <v>0.24299999999999999</v>
      </c>
      <c r="AU86" s="51">
        <v>0.218</v>
      </c>
      <c r="AV86" s="51">
        <v>0.22900000000000001</v>
      </c>
      <c r="AW86" s="51">
        <v>0.19600000000000001</v>
      </c>
      <c r="AX86" s="51">
        <v>0.19</v>
      </c>
      <c r="AY86" s="51">
        <v>0.35299999999999998</v>
      </c>
      <c r="AZ86" s="51">
        <v>0.27500000000000002</v>
      </c>
      <c r="BA86" s="51">
        <v>0.214</v>
      </c>
      <c r="BB86" s="52">
        <v>0.19400000000000001</v>
      </c>
      <c r="BC86" s="51">
        <v>0.25650000000000001</v>
      </c>
      <c r="BD86" s="53">
        <v>0.26300000000000001</v>
      </c>
      <c r="BE86" s="23" t="s">
        <v>38</v>
      </c>
      <c r="BF86" s="53">
        <v>0.2145</v>
      </c>
      <c r="BG86" s="51">
        <v>0.29549999999999998</v>
      </c>
      <c r="BH86" s="38">
        <v>0.26200000000000001</v>
      </c>
      <c r="BI86" s="38">
        <v>0.28949999999999998</v>
      </c>
      <c r="BJ86" s="38">
        <v>0.29449999999999998</v>
      </c>
      <c r="BK86" s="38">
        <v>0.26250000000000001</v>
      </c>
      <c r="BL86" s="38">
        <v>0.255</v>
      </c>
      <c r="BM86" s="38">
        <v>0.28549999999999998</v>
      </c>
      <c r="BN86" s="56" t="s">
        <v>38</v>
      </c>
      <c r="BO86" s="51">
        <v>0.27</v>
      </c>
      <c r="BP86" s="38">
        <v>0.27</v>
      </c>
      <c r="BQ86" s="38">
        <v>0.23899999999999999</v>
      </c>
      <c r="BR86" s="56">
        <v>0.22950000000000001</v>
      </c>
      <c r="BS86" s="38" t="s">
        <v>38</v>
      </c>
      <c r="BT86" s="56">
        <v>0.20649999999999999</v>
      </c>
      <c r="BU86" s="42">
        <v>0.20650000000000002</v>
      </c>
      <c r="BV86" s="56">
        <v>0.22</v>
      </c>
      <c r="BW86" s="38" t="s">
        <v>38</v>
      </c>
      <c r="BX86" s="38" t="s">
        <v>38</v>
      </c>
      <c r="BY86" s="85">
        <f>(0.314+0.329)/2</f>
        <v>0.32150000000000001</v>
      </c>
      <c r="BZ86" s="85">
        <f>(0.301+0.306)/2</f>
        <v>0.30349999999999999</v>
      </c>
      <c r="CA86" s="86">
        <v>0.40250000000000002</v>
      </c>
    </row>
    <row r="87" spans="1:79">
      <c r="A87" s="21" t="s">
        <v>30</v>
      </c>
      <c r="B87" s="82">
        <v>254540.82258800001</v>
      </c>
      <c r="C87" s="82">
        <v>4505618.2169500003</v>
      </c>
      <c r="D87" s="19" t="s">
        <v>38</v>
      </c>
      <c r="E87" s="19">
        <v>0.14649999999999999</v>
      </c>
      <c r="F87" s="19">
        <v>0.27350000000000002</v>
      </c>
      <c r="G87" s="19">
        <v>0.2225</v>
      </c>
      <c r="H87" s="19">
        <v>0.2515</v>
      </c>
      <c r="I87" s="19">
        <v>0.159</v>
      </c>
      <c r="J87" s="19">
        <v>0.17549999999999999</v>
      </c>
      <c r="K87" s="19">
        <v>0.154</v>
      </c>
      <c r="L87" s="19">
        <v>0.20150000000000001</v>
      </c>
      <c r="M87" s="19">
        <v>0.115</v>
      </c>
      <c r="N87" s="16">
        <v>9.8000000000000004E-2</v>
      </c>
      <c r="O87" s="16">
        <v>0.1225</v>
      </c>
      <c r="P87" s="23" t="s">
        <v>38</v>
      </c>
      <c r="Q87" s="16">
        <v>0.155</v>
      </c>
      <c r="R87" s="23" t="s">
        <v>38</v>
      </c>
      <c r="S87" s="16">
        <v>0.19450000000000001</v>
      </c>
      <c r="T87" s="51">
        <v>0.182</v>
      </c>
      <c r="U87" s="51">
        <v>0.20899999999999999</v>
      </c>
      <c r="V87" s="51">
        <v>0.29299999999999998</v>
      </c>
      <c r="W87" s="51">
        <v>0.29299999999999998</v>
      </c>
      <c r="X87" s="51">
        <v>0.18</v>
      </c>
      <c r="Y87" s="51" t="s">
        <v>38</v>
      </c>
      <c r="Z87" s="51">
        <v>0.26200000000000001</v>
      </c>
      <c r="AA87" s="51">
        <v>0.17</v>
      </c>
      <c r="AB87" s="51">
        <v>0.19700000000000001</v>
      </c>
      <c r="AC87" s="51">
        <v>0.153</v>
      </c>
      <c r="AD87" s="51">
        <v>0.248</v>
      </c>
      <c r="AE87" s="51" t="s">
        <v>38</v>
      </c>
      <c r="AF87" s="51">
        <v>0.159</v>
      </c>
      <c r="AG87" s="51">
        <v>0.156</v>
      </c>
      <c r="AH87" s="51">
        <v>0.19900000000000001</v>
      </c>
      <c r="AI87" s="51" t="s">
        <v>38</v>
      </c>
      <c r="AJ87" s="51" t="s">
        <v>38</v>
      </c>
      <c r="AK87" s="51">
        <v>0.2</v>
      </c>
      <c r="AL87" s="23" t="s">
        <v>38</v>
      </c>
      <c r="AM87" s="51">
        <v>0.16900000000000001</v>
      </c>
      <c r="AN87" s="51">
        <v>0.22900000000000001</v>
      </c>
      <c r="AO87" s="23" t="s">
        <v>38</v>
      </c>
      <c r="AP87" s="23" t="s">
        <v>38</v>
      </c>
      <c r="AQ87" s="51">
        <v>0.17</v>
      </c>
      <c r="AR87" s="23" t="s">
        <v>38</v>
      </c>
      <c r="AS87" s="23" t="s">
        <v>38</v>
      </c>
      <c r="AT87" s="23" t="s">
        <v>38</v>
      </c>
      <c r="AU87" s="51">
        <v>0.23200000000000001</v>
      </c>
      <c r="AV87" s="23" t="s">
        <v>38</v>
      </c>
      <c r="AW87" s="23" t="s">
        <v>38</v>
      </c>
      <c r="AX87" s="23" t="s">
        <v>38</v>
      </c>
      <c r="AY87" s="51">
        <v>0.218</v>
      </c>
      <c r="AZ87" s="51">
        <v>0.20799999999999999</v>
      </c>
      <c r="BA87" s="51">
        <v>0.31</v>
      </c>
      <c r="BB87" s="52">
        <v>0.1075</v>
      </c>
      <c r="BC87" s="51">
        <v>0.1865</v>
      </c>
      <c r="BD87" s="53">
        <v>0.16600000000000001</v>
      </c>
      <c r="BE87" s="23" t="s">
        <v>38</v>
      </c>
      <c r="BF87" s="53">
        <v>0.20850000000000002</v>
      </c>
      <c r="BG87" s="51">
        <v>0.16649999999999998</v>
      </c>
      <c r="BH87" s="23" t="s">
        <v>38</v>
      </c>
      <c r="BI87" s="23" t="s">
        <v>38</v>
      </c>
      <c r="BJ87" s="23" t="s">
        <v>38</v>
      </c>
      <c r="BK87" s="38">
        <v>0.26649999999999996</v>
      </c>
      <c r="BL87" s="56" t="s">
        <v>38</v>
      </c>
      <c r="BM87" s="56" t="s">
        <v>38</v>
      </c>
      <c r="BN87" s="56" t="s">
        <v>38</v>
      </c>
      <c r="BO87" s="56" t="s">
        <v>38</v>
      </c>
      <c r="BP87" s="56" t="s">
        <v>38</v>
      </c>
      <c r="BQ87" s="38">
        <v>0.129</v>
      </c>
      <c r="BR87" s="56">
        <v>0.15050000000000002</v>
      </c>
      <c r="BS87" s="38" t="s">
        <v>38</v>
      </c>
      <c r="BT87" s="56">
        <v>0.22699999999999998</v>
      </c>
      <c r="BU87" s="42">
        <v>0.182</v>
      </c>
      <c r="BV87" s="56" t="s">
        <v>38</v>
      </c>
      <c r="BW87" s="42">
        <v>0.21</v>
      </c>
      <c r="BX87" s="42" t="s">
        <v>38</v>
      </c>
      <c r="BY87" s="85">
        <f>(0.203+0.207)/2</f>
        <v>0.20500000000000002</v>
      </c>
      <c r="BZ87" s="85">
        <f>(0.222+0.304)/2</f>
        <v>0.26300000000000001</v>
      </c>
      <c r="CA87" s="86">
        <v>0.33</v>
      </c>
    </row>
    <row r="88" spans="1:79">
      <c r="A88" s="21" t="s">
        <v>31</v>
      </c>
      <c r="B88" s="82">
        <v>254538.99475700001</v>
      </c>
      <c r="C88" s="82">
        <v>4505617.5153299998</v>
      </c>
      <c r="D88" s="19" t="s">
        <v>38</v>
      </c>
      <c r="E88" s="19">
        <v>0.35099999999999998</v>
      </c>
      <c r="F88" s="19">
        <v>0.35549999999999998</v>
      </c>
      <c r="G88" s="19">
        <v>0.34199999999999997</v>
      </c>
      <c r="H88" s="19">
        <v>0.34899999999999998</v>
      </c>
      <c r="I88" s="19">
        <v>0.28449999999999998</v>
      </c>
      <c r="J88" s="19">
        <v>0.253</v>
      </c>
      <c r="K88" s="19">
        <v>0.20050000000000001</v>
      </c>
      <c r="L88" s="19">
        <v>0.27300000000000002</v>
      </c>
      <c r="M88" s="19">
        <v>0.1925</v>
      </c>
      <c r="N88" s="16">
        <v>0.20749999999999999</v>
      </c>
      <c r="O88" s="16">
        <v>0.19400000000000001</v>
      </c>
      <c r="P88" s="23" t="s">
        <v>38</v>
      </c>
      <c r="Q88" s="16">
        <v>0.27500000000000002</v>
      </c>
      <c r="R88" s="23" t="s">
        <v>38</v>
      </c>
      <c r="S88" s="23" t="s">
        <v>38</v>
      </c>
      <c r="T88" s="51">
        <v>0.29899999999999999</v>
      </c>
      <c r="U88" s="51">
        <v>0.35499999999999998</v>
      </c>
      <c r="V88" s="51">
        <v>0.32800000000000001</v>
      </c>
      <c r="W88" s="51">
        <v>0.35199999999999998</v>
      </c>
      <c r="X88" s="51">
        <v>0.35499999999999998</v>
      </c>
      <c r="Y88" s="51" t="s">
        <v>38</v>
      </c>
      <c r="Z88" s="51">
        <v>0.372</v>
      </c>
      <c r="AA88" s="51">
        <v>0.371</v>
      </c>
      <c r="AB88" s="51">
        <v>0.39100000000000001</v>
      </c>
      <c r="AC88" s="51">
        <v>0.40799999999999997</v>
      </c>
      <c r="AD88" s="51">
        <v>0.32400000000000001</v>
      </c>
      <c r="AE88" s="51" t="s">
        <v>38</v>
      </c>
      <c r="AF88" s="51">
        <v>0.28199999999999997</v>
      </c>
      <c r="AG88" s="51">
        <v>0.254</v>
      </c>
      <c r="AH88" s="51">
        <v>0.21299999999999999</v>
      </c>
      <c r="AI88" s="51" t="s">
        <v>38</v>
      </c>
      <c r="AJ88" s="51" t="s">
        <v>38</v>
      </c>
      <c r="AK88" s="51">
        <v>0.19500000000000001</v>
      </c>
      <c r="AL88" s="23" t="s">
        <v>38</v>
      </c>
      <c r="AM88" s="51">
        <v>0.311</v>
      </c>
      <c r="AN88" s="51">
        <v>0.314</v>
      </c>
      <c r="AO88" s="23" t="s">
        <v>38</v>
      </c>
      <c r="AP88" s="23" t="s">
        <v>38</v>
      </c>
      <c r="AQ88" s="51">
        <v>0.28699999999999998</v>
      </c>
      <c r="AR88" s="23" t="s">
        <v>38</v>
      </c>
      <c r="AS88" s="23" t="s">
        <v>38</v>
      </c>
      <c r="AT88" s="23" t="s">
        <v>38</v>
      </c>
      <c r="AU88" s="51">
        <v>0.23499999999999999</v>
      </c>
      <c r="AV88" s="23" t="s">
        <v>38</v>
      </c>
      <c r="AW88" s="23" t="s">
        <v>38</v>
      </c>
      <c r="AX88" s="23" t="s">
        <v>38</v>
      </c>
      <c r="AY88" s="51">
        <v>0.22500000000000001</v>
      </c>
      <c r="AZ88" s="51">
        <v>0.23799999999999999</v>
      </c>
      <c r="BA88" s="51">
        <v>0.23499999999999999</v>
      </c>
      <c r="BB88" s="52">
        <v>0.21050000000000002</v>
      </c>
      <c r="BC88" s="51">
        <v>0.20600000000000002</v>
      </c>
      <c r="BD88" s="53">
        <v>0.30499999999999999</v>
      </c>
      <c r="BE88" s="23" t="s">
        <v>38</v>
      </c>
      <c r="BF88" s="53">
        <v>0.29499999999999998</v>
      </c>
      <c r="BG88" s="51">
        <v>0.377</v>
      </c>
      <c r="BH88" s="23" t="s">
        <v>38</v>
      </c>
      <c r="BI88" s="23" t="s">
        <v>38</v>
      </c>
      <c r="BJ88" s="23" t="s">
        <v>38</v>
      </c>
      <c r="BK88" s="38">
        <v>0.32950000000000002</v>
      </c>
      <c r="BL88" s="56" t="s">
        <v>38</v>
      </c>
      <c r="BM88" s="56" t="s">
        <v>38</v>
      </c>
      <c r="BN88" s="56" t="s">
        <v>38</v>
      </c>
      <c r="BO88" s="56" t="s">
        <v>38</v>
      </c>
      <c r="BP88" s="56" t="s">
        <v>38</v>
      </c>
      <c r="BQ88" s="38">
        <v>0.25900000000000001</v>
      </c>
      <c r="BR88" s="56">
        <v>0.25</v>
      </c>
      <c r="BS88" s="38" t="s">
        <v>38</v>
      </c>
      <c r="BT88" s="56">
        <v>0.23199999999999998</v>
      </c>
      <c r="BU88" s="42">
        <v>0.30549999999999999</v>
      </c>
      <c r="BV88" s="56" t="s">
        <v>38</v>
      </c>
      <c r="BW88" s="42" t="s">
        <v>38</v>
      </c>
      <c r="BX88" s="42" t="s">
        <v>38</v>
      </c>
      <c r="BY88" s="85">
        <f>(0.314+0.306)/2</f>
        <v>0.31</v>
      </c>
      <c r="BZ88" s="85">
        <f>(0.335+0.348)/2</f>
        <v>0.34150000000000003</v>
      </c>
      <c r="CA88" s="86">
        <v>0.49299999999999999</v>
      </c>
    </row>
    <row r="89" spans="1:79">
      <c r="A89" s="21" t="s">
        <v>32</v>
      </c>
      <c r="B89" s="82">
        <v>254538.198217</v>
      </c>
      <c r="C89" s="82">
        <v>4505619.3421200002</v>
      </c>
      <c r="D89" s="19" t="s">
        <v>38</v>
      </c>
      <c r="E89" s="19">
        <v>0.309</v>
      </c>
      <c r="F89" s="19">
        <v>0.29499999999999998</v>
      </c>
      <c r="G89" s="19">
        <v>0.32100000000000001</v>
      </c>
      <c r="H89" s="19">
        <v>0.29099999999999998</v>
      </c>
      <c r="I89" s="19">
        <v>0.2555</v>
      </c>
      <c r="J89" s="19">
        <v>0.217</v>
      </c>
      <c r="K89" s="19">
        <v>0.188</v>
      </c>
      <c r="L89" s="19">
        <v>9.6500000000000002E-2</v>
      </c>
      <c r="M89" s="19">
        <v>0.17049999999999998</v>
      </c>
      <c r="N89" s="16">
        <v>0.1835</v>
      </c>
      <c r="O89" s="16">
        <v>0.17749999999999999</v>
      </c>
      <c r="P89" s="23" t="s">
        <v>38</v>
      </c>
      <c r="Q89" s="16">
        <v>0.22950000000000001</v>
      </c>
      <c r="R89" s="23" t="s">
        <v>38</v>
      </c>
      <c r="S89" s="23" t="s">
        <v>38</v>
      </c>
      <c r="T89" s="51">
        <v>0.29299999999999998</v>
      </c>
      <c r="U89" s="51">
        <v>0.32600000000000001</v>
      </c>
      <c r="V89" s="51">
        <v>0.33700000000000002</v>
      </c>
      <c r="W89" s="51">
        <v>0.40400000000000003</v>
      </c>
      <c r="X89" s="51">
        <v>0.33800000000000002</v>
      </c>
      <c r="Y89" s="51" t="s">
        <v>38</v>
      </c>
      <c r="Z89" s="51">
        <v>0.34100000000000003</v>
      </c>
      <c r="AA89" s="51">
        <v>0.33700000000000002</v>
      </c>
      <c r="AB89" s="51">
        <v>0.33800000000000002</v>
      </c>
      <c r="AC89" s="51">
        <v>0.35799999999999998</v>
      </c>
      <c r="AD89" s="51">
        <v>0.34799999999999998</v>
      </c>
      <c r="AE89" s="51" t="s">
        <v>38</v>
      </c>
      <c r="AF89" s="51">
        <v>0.24099999999999999</v>
      </c>
      <c r="AG89" s="51">
        <v>0.20899999999999999</v>
      </c>
      <c r="AH89" s="51">
        <v>0.221</v>
      </c>
      <c r="AI89" s="51" t="s">
        <v>38</v>
      </c>
      <c r="AJ89" s="51" t="s">
        <v>38</v>
      </c>
      <c r="AK89" s="51">
        <v>0.192</v>
      </c>
      <c r="AL89" s="23" t="s">
        <v>38</v>
      </c>
      <c r="AM89" s="51">
        <v>0.32700000000000001</v>
      </c>
      <c r="AN89" s="51">
        <v>0.29399999999999998</v>
      </c>
      <c r="AO89" s="23" t="s">
        <v>38</v>
      </c>
      <c r="AP89" s="23" t="s">
        <v>38</v>
      </c>
      <c r="AQ89" s="51">
        <v>0.26500000000000001</v>
      </c>
      <c r="AR89" s="23" t="s">
        <v>38</v>
      </c>
      <c r="AS89" s="23" t="s">
        <v>38</v>
      </c>
      <c r="AT89" s="23" t="s">
        <v>38</v>
      </c>
      <c r="AU89" s="51">
        <v>0.19700000000000001</v>
      </c>
      <c r="AV89" s="23" t="s">
        <v>38</v>
      </c>
      <c r="AW89" s="23" t="s">
        <v>38</v>
      </c>
      <c r="AX89" s="23" t="s">
        <v>38</v>
      </c>
      <c r="AY89" s="51">
        <v>0.216</v>
      </c>
      <c r="AZ89" s="51">
        <v>0.221</v>
      </c>
      <c r="BA89" s="51">
        <v>0.245</v>
      </c>
      <c r="BB89" s="52">
        <v>0.17799999999999999</v>
      </c>
      <c r="BC89" s="51">
        <v>0.22700000000000001</v>
      </c>
      <c r="BD89" s="53">
        <v>0.27050000000000002</v>
      </c>
      <c r="BE89" s="23" t="s">
        <v>38</v>
      </c>
      <c r="BF89" s="53">
        <v>0.254</v>
      </c>
      <c r="BG89" s="51">
        <v>0.308</v>
      </c>
      <c r="BH89" s="23" t="s">
        <v>38</v>
      </c>
      <c r="BI89" s="23" t="s">
        <v>38</v>
      </c>
      <c r="BJ89" s="23" t="s">
        <v>38</v>
      </c>
      <c r="BK89" s="38">
        <v>0.24049999999999999</v>
      </c>
      <c r="BL89" s="56" t="s">
        <v>38</v>
      </c>
      <c r="BM89" s="56" t="s">
        <v>38</v>
      </c>
      <c r="BN89" s="56" t="s">
        <v>38</v>
      </c>
      <c r="BO89" s="56" t="s">
        <v>38</v>
      </c>
      <c r="BP89" s="56" t="s">
        <v>38</v>
      </c>
      <c r="BQ89" s="38">
        <v>0.22170000000000001</v>
      </c>
      <c r="BR89" s="56">
        <v>0.25750000000000001</v>
      </c>
      <c r="BS89" s="38" t="s">
        <v>38</v>
      </c>
      <c r="BT89" s="56">
        <v>0.23149999999999998</v>
      </c>
      <c r="BU89" s="42">
        <v>0.21099999999999999</v>
      </c>
      <c r="BV89" s="56" t="s">
        <v>38</v>
      </c>
      <c r="BW89" s="42" t="s">
        <v>38</v>
      </c>
      <c r="BX89" s="42" t="s">
        <v>38</v>
      </c>
      <c r="BY89" s="85">
        <f>(0.317+0.303)/2</f>
        <v>0.31</v>
      </c>
      <c r="BZ89" s="85">
        <f>(0.298+0.311)/2</f>
        <v>0.30449999999999999</v>
      </c>
      <c r="CA89" s="86">
        <v>0.42949999999999999</v>
      </c>
    </row>
    <row r="90" spans="1:79">
      <c r="A90" s="21" t="s">
        <v>33</v>
      </c>
      <c r="B90" s="82">
        <v>254539.991026</v>
      </c>
      <c r="C90" s="82">
        <v>4505620.2901600003</v>
      </c>
      <c r="D90" s="19" t="s">
        <v>38</v>
      </c>
      <c r="E90" s="19">
        <v>0.30149999999999999</v>
      </c>
      <c r="F90" s="19">
        <v>0.314</v>
      </c>
      <c r="G90" s="19">
        <v>0.316</v>
      </c>
      <c r="H90" s="19">
        <v>0.30349999999999999</v>
      </c>
      <c r="I90" s="19">
        <v>0.28400000000000003</v>
      </c>
      <c r="J90" s="19">
        <v>0.26400000000000001</v>
      </c>
      <c r="K90" s="19">
        <v>0.2145</v>
      </c>
      <c r="L90" s="19">
        <v>0.23049999999999998</v>
      </c>
      <c r="M90" s="19">
        <v>0.20100000000000001</v>
      </c>
      <c r="N90" s="16">
        <v>0.2475</v>
      </c>
      <c r="O90" s="16">
        <v>0.21350000000000002</v>
      </c>
      <c r="P90" s="16">
        <v>0.19950000000000001</v>
      </c>
      <c r="Q90" s="16">
        <v>0.25750000000000001</v>
      </c>
      <c r="R90" s="23" t="s">
        <v>38</v>
      </c>
      <c r="S90" s="23" t="s">
        <v>38</v>
      </c>
      <c r="T90" s="51">
        <v>0.34100000000000003</v>
      </c>
      <c r="U90" s="51">
        <v>0.34</v>
      </c>
      <c r="V90" s="51">
        <v>0.34</v>
      </c>
      <c r="W90" s="51">
        <v>0.41899999999999998</v>
      </c>
      <c r="X90" s="51">
        <v>0.34399999999999997</v>
      </c>
      <c r="Y90" s="51" t="s">
        <v>38</v>
      </c>
      <c r="Z90" s="51">
        <v>0.35299999999999998</v>
      </c>
      <c r="AA90" s="51">
        <v>0.35899999999999999</v>
      </c>
      <c r="AB90" s="51">
        <v>0.34599999999999997</v>
      </c>
      <c r="AC90" s="51">
        <v>0.36</v>
      </c>
      <c r="AD90" s="51">
        <v>0.33900000000000002</v>
      </c>
      <c r="AE90" s="51" t="s">
        <v>38</v>
      </c>
      <c r="AF90" s="51">
        <v>0.247</v>
      </c>
      <c r="AG90" s="51">
        <v>0.249</v>
      </c>
      <c r="AH90" s="51">
        <v>0.23</v>
      </c>
      <c r="AI90" s="51" t="s">
        <v>38</v>
      </c>
      <c r="AJ90" s="51" t="s">
        <v>38</v>
      </c>
      <c r="AK90" s="51">
        <v>0.24399999999999999</v>
      </c>
      <c r="AL90" s="23" t="s">
        <v>38</v>
      </c>
      <c r="AM90" s="51">
        <v>0.35099999999999998</v>
      </c>
      <c r="AN90" s="51">
        <v>0.3</v>
      </c>
      <c r="AO90" s="23" t="s">
        <v>38</v>
      </c>
      <c r="AP90" s="23" t="s">
        <v>38</v>
      </c>
      <c r="AQ90" s="51">
        <v>0.29499999999999998</v>
      </c>
      <c r="AR90" s="23" t="s">
        <v>38</v>
      </c>
      <c r="AS90" s="23" t="s">
        <v>38</v>
      </c>
      <c r="AT90" s="23" t="s">
        <v>38</v>
      </c>
      <c r="AU90" s="51">
        <v>0.23</v>
      </c>
      <c r="AV90" s="23" t="s">
        <v>38</v>
      </c>
      <c r="AW90" s="23" t="s">
        <v>38</v>
      </c>
      <c r="AX90" s="23" t="s">
        <v>38</v>
      </c>
      <c r="AY90" s="51" t="s">
        <v>38</v>
      </c>
      <c r="AZ90" s="51" t="s">
        <v>38</v>
      </c>
      <c r="BA90" s="51">
        <v>0.223</v>
      </c>
      <c r="BB90" s="52">
        <v>0.189</v>
      </c>
      <c r="BC90" s="51">
        <v>0.24399999999999999</v>
      </c>
      <c r="BD90" s="53">
        <v>0.29299999999999998</v>
      </c>
      <c r="BE90" s="23" t="s">
        <v>38</v>
      </c>
      <c r="BF90" s="53">
        <v>0.2225</v>
      </c>
      <c r="BG90" s="51">
        <v>0.33950000000000002</v>
      </c>
      <c r="BH90" s="23" t="s">
        <v>38</v>
      </c>
      <c r="BI90" s="23" t="s">
        <v>38</v>
      </c>
      <c r="BJ90" s="23" t="s">
        <v>38</v>
      </c>
      <c r="BK90" s="38">
        <v>0.29449999999999998</v>
      </c>
      <c r="BL90" s="56" t="s">
        <v>38</v>
      </c>
      <c r="BM90" s="56" t="s">
        <v>38</v>
      </c>
      <c r="BN90" s="56" t="s">
        <v>38</v>
      </c>
      <c r="BO90" s="56" t="s">
        <v>38</v>
      </c>
      <c r="BP90" s="56" t="s">
        <v>38</v>
      </c>
      <c r="BQ90" s="38">
        <v>0.2515</v>
      </c>
      <c r="BR90" s="56">
        <v>0.25650000000000001</v>
      </c>
      <c r="BS90" s="38" t="s">
        <v>38</v>
      </c>
      <c r="BT90" s="56">
        <v>0.22850000000000001</v>
      </c>
      <c r="BU90" s="42">
        <v>0.22450000000000001</v>
      </c>
      <c r="BV90" s="56" t="s">
        <v>38</v>
      </c>
      <c r="BW90" s="42" t="s">
        <v>38</v>
      </c>
      <c r="BX90" s="42" t="s">
        <v>38</v>
      </c>
      <c r="BY90" s="85">
        <f>(0.356+0.355)/2</f>
        <v>0.35549999999999998</v>
      </c>
      <c r="BZ90" s="85">
        <f>(0.312+0.319)/2</f>
        <v>0.3155</v>
      </c>
      <c r="CA90" s="86">
        <v>0.43049999999999999</v>
      </c>
    </row>
    <row r="91" spans="1:79">
      <c r="A91" s="21">
        <v>62</v>
      </c>
      <c r="B91" s="82">
        <v>254529.63870800001</v>
      </c>
      <c r="C91" s="82">
        <v>4505611.6253199996</v>
      </c>
      <c r="D91" s="19" t="s">
        <v>38</v>
      </c>
      <c r="E91" s="19" t="s">
        <v>38</v>
      </c>
      <c r="F91" s="19" t="s">
        <v>38</v>
      </c>
      <c r="G91" s="19" t="s">
        <v>38</v>
      </c>
      <c r="H91" s="19" t="s">
        <v>38</v>
      </c>
      <c r="I91" s="19" t="s">
        <v>38</v>
      </c>
      <c r="J91" s="19" t="s">
        <v>38</v>
      </c>
      <c r="K91" s="19" t="s">
        <v>38</v>
      </c>
      <c r="L91" s="19" t="s">
        <v>38</v>
      </c>
      <c r="M91" s="19" t="s">
        <v>38</v>
      </c>
      <c r="N91" s="23" t="s">
        <v>38</v>
      </c>
      <c r="O91" s="23" t="s">
        <v>38</v>
      </c>
      <c r="P91" s="23" t="s">
        <v>38</v>
      </c>
      <c r="Q91" s="23" t="s">
        <v>38</v>
      </c>
      <c r="R91" s="23" t="s">
        <v>38</v>
      </c>
      <c r="S91" s="23" t="s">
        <v>38</v>
      </c>
      <c r="T91" s="23" t="s">
        <v>38</v>
      </c>
      <c r="U91" s="23" t="s">
        <v>38</v>
      </c>
      <c r="V91" s="23" t="s">
        <v>38</v>
      </c>
      <c r="W91" s="23" t="s">
        <v>38</v>
      </c>
      <c r="X91" s="23" t="s">
        <v>38</v>
      </c>
      <c r="Y91" s="23" t="s">
        <v>38</v>
      </c>
      <c r="Z91" s="23" t="s">
        <v>38</v>
      </c>
      <c r="AA91" s="23" t="s">
        <v>38</v>
      </c>
      <c r="AB91" s="23" t="s">
        <v>38</v>
      </c>
      <c r="AC91" s="23" t="s">
        <v>38</v>
      </c>
      <c r="AD91" s="23" t="s">
        <v>38</v>
      </c>
      <c r="AE91" s="23" t="s">
        <v>38</v>
      </c>
      <c r="AF91" s="23" t="s">
        <v>38</v>
      </c>
      <c r="AG91" s="23" t="s">
        <v>38</v>
      </c>
      <c r="AH91" s="23" t="s">
        <v>38</v>
      </c>
      <c r="AI91" s="23" t="s">
        <v>38</v>
      </c>
      <c r="AJ91" s="23" t="s">
        <v>38</v>
      </c>
      <c r="AK91" s="23" t="s">
        <v>38</v>
      </c>
      <c r="AL91" s="23" t="s">
        <v>38</v>
      </c>
      <c r="AM91" s="23" t="s">
        <v>38</v>
      </c>
      <c r="AN91" s="23" t="s">
        <v>38</v>
      </c>
      <c r="AO91" s="23" t="s">
        <v>38</v>
      </c>
      <c r="AP91" s="23" t="s">
        <v>38</v>
      </c>
      <c r="AQ91" s="23" t="s">
        <v>38</v>
      </c>
      <c r="AR91" s="23" t="s">
        <v>38</v>
      </c>
      <c r="AS91" s="23" t="s">
        <v>38</v>
      </c>
      <c r="AT91" s="23" t="s">
        <v>38</v>
      </c>
      <c r="AU91" s="23" t="s">
        <v>38</v>
      </c>
      <c r="AV91" s="23" t="s">
        <v>38</v>
      </c>
      <c r="AW91" s="23" t="s">
        <v>38</v>
      </c>
      <c r="AX91" s="23" t="s">
        <v>38</v>
      </c>
      <c r="AY91" s="23" t="s">
        <v>38</v>
      </c>
      <c r="AZ91" s="23" t="s">
        <v>38</v>
      </c>
      <c r="BA91" s="23" t="s">
        <v>38</v>
      </c>
      <c r="BB91" s="23" t="s">
        <v>38</v>
      </c>
      <c r="BC91" s="23" t="s">
        <v>38</v>
      </c>
      <c r="BD91" s="23" t="s">
        <v>38</v>
      </c>
      <c r="BE91" s="23" t="s">
        <v>38</v>
      </c>
      <c r="BF91" s="23" t="s">
        <v>38</v>
      </c>
      <c r="BG91" s="23" t="s">
        <v>38</v>
      </c>
      <c r="BH91" s="23" t="s">
        <v>38</v>
      </c>
      <c r="BI91" s="23" t="s">
        <v>38</v>
      </c>
      <c r="BJ91" s="23" t="s">
        <v>38</v>
      </c>
      <c r="BK91" s="23" t="s">
        <v>38</v>
      </c>
      <c r="BL91" s="56" t="s">
        <v>38</v>
      </c>
      <c r="BM91" s="56" t="s">
        <v>38</v>
      </c>
      <c r="BN91" s="56" t="s">
        <v>38</v>
      </c>
      <c r="BO91" s="56" t="s">
        <v>38</v>
      </c>
      <c r="BP91" s="56" t="s">
        <v>38</v>
      </c>
      <c r="BQ91" s="56" t="s">
        <v>38</v>
      </c>
      <c r="BR91" s="56" t="s">
        <v>38</v>
      </c>
      <c r="BS91" s="56" t="s">
        <v>38</v>
      </c>
      <c r="BT91" s="56" t="s">
        <v>38</v>
      </c>
      <c r="BU91" s="56" t="s">
        <v>38</v>
      </c>
      <c r="BV91" s="56" t="s">
        <v>38</v>
      </c>
      <c r="BW91" s="42" t="s">
        <v>38</v>
      </c>
      <c r="BX91" s="42" t="s">
        <v>38</v>
      </c>
      <c r="BY91" s="69" t="s">
        <v>38</v>
      </c>
      <c r="BZ91" s="69" t="s">
        <v>38</v>
      </c>
      <c r="CA91" s="86" t="s">
        <v>38</v>
      </c>
    </row>
    <row r="92" spans="1:79">
      <c r="A92" s="21">
        <v>63</v>
      </c>
      <c r="B92" s="82">
        <v>254551.13957</v>
      </c>
      <c r="C92" s="82">
        <v>4505625.0883400002</v>
      </c>
      <c r="D92" s="19" t="s">
        <v>38</v>
      </c>
      <c r="E92" s="19" t="s">
        <v>38</v>
      </c>
      <c r="F92" s="19" t="s">
        <v>38</v>
      </c>
      <c r="G92" s="19" t="s">
        <v>38</v>
      </c>
      <c r="H92" s="19" t="s">
        <v>38</v>
      </c>
      <c r="I92" s="19" t="s">
        <v>38</v>
      </c>
      <c r="J92" s="19" t="s">
        <v>38</v>
      </c>
      <c r="K92" s="19" t="s">
        <v>38</v>
      </c>
      <c r="L92" s="19" t="s">
        <v>38</v>
      </c>
      <c r="M92" s="19" t="s">
        <v>38</v>
      </c>
      <c r="N92" s="23" t="s">
        <v>38</v>
      </c>
      <c r="O92" s="23" t="s">
        <v>38</v>
      </c>
      <c r="P92" s="23" t="s">
        <v>38</v>
      </c>
      <c r="Q92" s="23" t="s">
        <v>38</v>
      </c>
      <c r="R92" s="23" t="s">
        <v>38</v>
      </c>
      <c r="S92" s="23" t="s">
        <v>38</v>
      </c>
      <c r="T92" s="23" t="s">
        <v>38</v>
      </c>
      <c r="U92" s="23" t="s">
        <v>38</v>
      </c>
      <c r="V92" s="23" t="s">
        <v>38</v>
      </c>
      <c r="W92" s="23" t="s">
        <v>38</v>
      </c>
      <c r="X92" s="23" t="s">
        <v>38</v>
      </c>
      <c r="Y92" s="23" t="s">
        <v>38</v>
      </c>
      <c r="Z92" s="23" t="s">
        <v>38</v>
      </c>
      <c r="AA92" s="23" t="s">
        <v>38</v>
      </c>
      <c r="AB92" s="23" t="s">
        <v>38</v>
      </c>
      <c r="AC92" s="23" t="s">
        <v>38</v>
      </c>
      <c r="AD92" s="23" t="s">
        <v>38</v>
      </c>
      <c r="AE92" s="23" t="s">
        <v>38</v>
      </c>
      <c r="AF92" s="23" t="s">
        <v>38</v>
      </c>
      <c r="AG92" s="23" t="s">
        <v>38</v>
      </c>
      <c r="AH92" s="23" t="s">
        <v>38</v>
      </c>
      <c r="AI92" s="23" t="s">
        <v>38</v>
      </c>
      <c r="AJ92" s="23" t="s">
        <v>38</v>
      </c>
      <c r="AK92" s="23" t="s">
        <v>38</v>
      </c>
      <c r="AL92" s="23" t="s">
        <v>38</v>
      </c>
      <c r="AM92" s="23" t="s">
        <v>38</v>
      </c>
      <c r="AN92" s="23" t="s">
        <v>38</v>
      </c>
      <c r="AO92" s="23" t="s">
        <v>38</v>
      </c>
      <c r="AP92" s="23" t="s">
        <v>38</v>
      </c>
      <c r="AQ92" s="23" t="s">
        <v>38</v>
      </c>
      <c r="AR92" s="23" t="s">
        <v>38</v>
      </c>
      <c r="AS92" s="23" t="s">
        <v>38</v>
      </c>
      <c r="AT92" s="23" t="s">
        <v>38</v>
      </c>
      <c r="AU92" s="23" t="s">
        <v>38</v>
      </c>
      <c r="AV92" s="23" t="s">
        <v>38</v>
      </c>
      <c r="AW92" s="23" t="s">
        <v>38</v>
      </c>
      <c r="AX92" s="23" t="s">
        <v>38</v>
      </c>
      <c r="AY92" s="23" t="s">
        <v>38</v>
      </c>
      <c r="AZ92" s="23" t="s">
        <v>38</v>
      </c>
      <c r="BA92" s="23" t="s">
        <v>38</v>
      </c>
      <c r="BB92" s="23" t="s">
        <v>38</v>
      </c>
      <c r="BC92" s="23" t="s">
        <v>38</v>
      </c>
      <c r="BD92" s="23" t="s">
        <v>38</v>
      </c>
      <c r="BE92" s="23" t="s">
        <v>38</v>
      </c>
      <c r="BF92" s="23" t="s">
        <v>38</v>
      </c>
      <c r="BG92" s="23" t="s">
        <v>38</v>
      </c>
      <c r="BH92" s="23" t="s">
        <v>38</v>
      </c>
      <c r="BI92" s="23" t="s">
        <v>38</v>
      </c>
      <c r="BJ92" s="23" t="s">
        <v>38</v>
      </c>
      <c r="BK92" s="23" t="s">
        <v>38</v>
      </c>
      <c r="BL92" s="56" t="s">
        <v>38</v>
      </c>
      <c r="BM92" s="56" t="s">
        <v>38</v>
      </c>
      <c r="BN92" s="56" t="s">
        <v>38</v>
      </c>
      <c r="BO92" s="56" t="s">
        <v>38</v>
      </c>
      <c r="BP92" s="56" t="s">
        <v>38</v>
      </c>
      <c r="BQ92" s="56" t="s">
        <v>38</v>
      </c>
      <c r="BR92" s="56" t="s">
        <v>38</v>
      </c>
      <c r="BS92" s="56" t="s">
        <v>38</v>
      </c>
      <c r="BT92" s="56" t="s">
        <v>38</v>
      </c>
      <c r="BU92" s="56" t="s">
        <v>38</v>
      </c>
      <c r="BV92" s="56" t="s">
        <v>38</v>
      </c>
      <c r="BW92" s="42" t="s">
        <v>38</v>
      </c>
      <c r="BX92" s="42" t="s">
        <v>38</v>
      </c>
      <c r="BY92" s="69" t="s">
        <v>38</v>
      </c>
      <c r="BZ92" s="69" t="s">
        <v>38</v>
      </c>
      <c r="CA92" s="86" t="s">
        <v>38</v>
      </c>
    </row>
    <row r="93" spans="1:79">
      <c r="A93" s="21">
        <v>64</v>
      </c>
      <c r="B93" s="82">
        <v>254546.275371</v>
      </c>
      <c r="C93" s="82">
        <v>4505618.8425099999</v>
      </c>
      <c r="D93" s="19" t="s">
        <v>38</v>
      </c>
      <c r="E93" s="19" t="s">
        <v>38</v>
      </c>
      <c r="F93" s="19" t="s">
        <v>38</v>
      </c>
      <c r="G93" s="19" t="s">
        <v>38</v>
      </c>
      <c r="H93" s="19" t="s">
        <v>38</v>
      </c>
      <c r="I93" s="19" t="s">
        <v>38</v>
      </c>
      <c r="J93" s="19" t="s">
        <v>38</v>
      </c>
      <c r="K93" s="19" t="s">
        <v>38</v>
      </c>
      <c r="L93" s="19" t="s">
        <v>38</v>
      </c>
      <c r="M93" s="19" t="s">
        <v>38</v>
      </c>
      <c r="N93" s="23" t="s">
        <v>38</v>
      </c>
      <c r="O93" s="23" t="s">
        <v>38</v>
      </c>
      <c r="P93" s="23" t="s">
        <v>38</v>
      </c>
      <c r="Q93" s="23" t="s">
        <v>38</v>
      </c>
      <c r="R93" s="23" t="s">
        <v>38</v>
      </c>
      <c r="S93" s="23" t="s">
        <v>38</v>
      </c>
      <c r="T93" s="23" t="s">
        <v>38</v>
      </c>
      <c r="U93" s="23" t="s">
        <v>38</v>
      </c>
      <c r="V93" s="23" t="s">
        <v>38</v>
      </c>
      <c r="W93" s="23" t="s">
        <v>38</v>
      </c>
      <c r="X93" s="23" t="s">
        <v>38</v>
      </c>
      <c r="Y93" s="23" t="s">
        <v>38</v>
      </c>
      <c r="Z93" s="23" t="s">
        <v>38</v>
      </c>
      <c r="AA93" s="23" t="s">
        <v>38</v>
      </c>
      <c r="AB93" s="23" t="s">
        <v>38</v>
      </c>
      <c r="AC93" s="23" t="s">
        <v>38</v>
      </c>
      <c r="AD93" s="23" t="s">
        <v>38</v>
      </c>
      <c r="AE93" s="23" t="s">
        <v>38</v>
      </c>
      <c r="AF93" s="23" t="s">
        <v>38</v>
      </c>
      <c r="AG93" s="23" t="s">
        <v>38</v>
      </c>
      <c r="AH93" s="23" t="s">
        <v>38</v>
      </c>
      <c r="AI93" s="23" t="s">
        <v>38</v>
      </c>
      <c r="AJ93" s="23" t="s">
        <v>38</v>
      </c>
      <c r="AK93" s="23" t="s">
        <v>38</v>
      </c>
      <c r="AL93" s="23" t="s">
        <v>38</v>
      </c>
      <c r="AM93" s="23" t="s">
        <v>38</v>
      </c>
      <c r="AN93" s="23" t="s">
        <v>38</v>
      </c>
      <c r="AO93" s="23" t="s">
        <v>38</v>
      </c>
      <c r="AP93" s="23" t="s">
        <v>38</v>
      </c>
      <c r="AQ93" s="23" t="s">
        <v>38</v>
      </c>
      <c r="AR93" s="23" t="s">
        <v>38</v>
      </c>
      <c r="AS93" s="23" t="s">
        <v>38</v>
      </c>
      <c r="AT93" s="23" t="s">
        <v>38</v>
      </c>
      <c r="AU93" s="23" t="s">
        <v>38</v>
      </c>
      <c r="AV93" s="23" t="s">
        <v>38</v>
      </c>
      <c r="AW93" s="23" t="s">
        <v>38</v>
      </c>
      <c r="AX93" s="23" t="s">
        <v>38</v>
      </c>
      <c r="AY93" s="23" t="s">
        <v>38</v>
      </c>
      <c r="AZ93" s="23" t="s">
        <v>38</v>
      </c>
      <c r="BA93" s="23" t="s">
        <v>38</v>
      </c>
      <c r="BB93" s="23" t="s">
        <v>38</v>
      </c>
      <c r="BC93" s="23" t="s">
        <v>38</v>
      </c>
      <c r="BD93" s="23" t="s">
        <v>38</v>
      </c>
      <c r="BE93" s="23" t="s">
        <v>38</v>
      </c>
      <c r="BF93" s="23" t="s">
        <v>38</v>
      </c>
      <c r="BG93" s="23" t="s">
        <v>38</v>
      </c>
      <c r="BH93" s="23" t="s">
        <v>38</v>
      </c>
      <c r="BI93" s="23" t="s">
        <v>38</v>
      </c>
      <c r="BJ93" s="23" t="s">
        <v>38</v>
      </c>
      <c r="BK93" s="23" t="s">
        <v>38</v>
      </c>
      <c r="BL93" s="56" t="s">
        <v>38</v>
      </c>
      <c r="BM93" s="56" t="s">
        <v>38</v>
      </c>
      <c r="BN93" s="56" t="s">
        <v>38</v>
      </c>
      <c r="BO93" s="56" t="s">
        <v>38</v>
      </c>
      <c r="BP93" s="56" t="s">
        <v>38</v>
      </c>
      <c r="BQ93" s="56" t="s">
        <v>38</v>
      </c>
      <c r="BR93" s="56" t="s">
        <v>38</v>
      </c>
      <c r="BS93" s="56" t="s">
        <v>38</v>
      </c>
      <c r="BT93" s="56" t="s">
        <v>38</v>
      </c>
      <c r="BU93" s="56" t="s">
        <v>38</v>
      </c>
      <c r="BV93" s="56" t="s">
        <v>38</v>
      </c>
      <c r="BW93" s="42" t="s">
        <v>38</v>
      </c>
      <c r="BX93" s="42" t="s">
        <v>38</v>
      </c>
      <c r="BY93" s="69" t="s">
        <v>38</v>
      </c>
      <c r="BZ93" s="69" t="s">
        <v>38</v>
      </c>
      <c r="CA93" s="86" t="s">
        <v>38</v>
      </c>
    </row>
    <row r="94" spans="1:79">
      <c r="A94" s="21">
        <v>65</v>
      </c>
      <c r="B94" s="82">
        <v>254565.06507300001</v>
      </c>
      <c r="C94" s="82">
        <v>4505658.6095899995</v>
      </c>
      <c r="D94" s="19">
        <v>0.26450000000000001</v>
      </c>
      <c r="E94" s="19">
        <v>0.2495</v>
      </c>
      <c r="F94" s="19">
        <v>0.26600000000000001</v>
      </c>
      <c r="G94" s="19">
        <v>0.26700000000000002</v>
      </c>
      <c r="H94" s="19">
        <v>0.25900000000000001</v>
      </c>
      <c r="I94" s="19">
        <v>0.23349999999999999</v>
      </c>
      <c r="J94" s="19">
        <v>0.21</v>
      </c>
      <c r="K94" s="19">
        <v>0.16550000000000001</v>
      </c>
      <c r="L94" s="19">
        <v>0.17749999999999999</v>
      </c>
      <c r="M94" s="19">
        <v>0.14449999999999999</v>
      </c>
      <c r="N94" s="16">
        <v>0.182</v>
      </c>
      <c r="O94" s="16">
        <v>0.13950000000000001</v>
      </c>
      <c r="P94" s="16">
        <v>0.16449999999999998</v>
      </c>
      <c r="Q94" s="16">
        <v>0.21299999999999999</v>
      </c>
      <c r="R94" s="16">
        <v>0.22950000000000001</v>
      </c>
      <c r="S94" s="16">
        <v>0.2465</v>
      </c>
      <c r="T94" s="51">
        <v>0.248</v>
      </c>
      <c r="U94" s="51">
        <v>0.27600000000000002</v>
      </c>
      <c r="V94" s="51">
        <v>0.28699999999999998</v>
      </c>
      <c r="W94" s="51">
        <v>0.307</v>
      </c>
      <c r="X94" s="51">
        <v>0.28299999999999997</v>
      </c>
      <c r="Y94" s="51">
        <v>0.27100000000000002</v>
      </c>
      <c r="Z94" s="51">
        <v>0.28499999999999998</v>
      </c>
      <c r="AA94" s="51">
        <v>0.28299999999999997</v>
      </c>
      <c r="AB94" s="51">
        <v>0.28999999999999998</v>
      </c>
      <c r="AC94" s="51">
        <v>0.28299999999999997</v>
      </c>
      <c r="AD94" s="51">
        <v>0.27100000000000002</v>
      </c>
      <c r="AE94" s="51">
        <v>0.255</v>
      </c>
      <c r="AF94" s="51">
        <v>0.22800000000000001</v>
      </c>
      <c r="AG94" s="51">
        <v>0.223</v>
      </c>
      <c r="AH94" s="51">
        <v>0.17299999999999999</v>
      </c>
      <c r="AI94" s="51">
        <v>0.20100000000000001</v>
      </c>
      <c r="AJ94" s="51">
        <v>0.17100000000000001</v>
      </c>
      <c r="AK94" s="51">
        <v>0.16400000000000001</v>
      </c>
      <c r="AL94" s="51">
        <v>0.25800000000000001</v>
      </c>
      <c r="AM94" s="51">
        <v>0.29899999999999999</v>
      </c>
      <c r="AN94" s="51">
        <v>0.26100000000000001</v>
      </c>
      <c r="AO94" s="51">
        <v>0.20699999999999999</v>
      </c>
      <c r="AP94" s="51">
        <v>0.22700000000000001</v>
      </c>
      <c r="AQ94" s="51">
        <v>0.25700000000000001</v>
      </c>
      <c r="AR94" s="51">
        <v>0.25</v>
      </c>
      <c r="AS94" s="51">
        <v>0.24</v>
      </c>
      <c r="AT94" s="51">
        <v>0.23699999999999999</v>
      </c>
      <c r="AU94" s="51">
        <v>0.222</v>
      </c>
      <c r="AV94" s="51">
        <v>0.19700000000000001</v>
      </c>
      <c r="AW94" s="51">
        <v>0.17499999999999999</v>
      </c>
      <c r="AX94" s="51">
        <v>0.16</v>
      </c>
      <c r="AY94" s="51">
        <v>0.23200000000000001</v>
      </c>
      <c r="AZ94" s="51">
        <v>0.19800000000000001</v>
      </c>
      <c r="BA94" s="51" t="s">
        <v>38</v>
      </c>
      <c r="BB94" s="52">
        <v>0.17499999999999999</v>
      </c>
      <c r="BC94" s="51">
        <v>0.19450000000000001</v>
      </c>
      <c r="BD94" s="53">
        <v>0.246</v>
      </c>
      <c r="BE94" s="23" t="s">
        <v>38</v>
      </c>
      <c r="BF94" s="23" t="s">
        <v>38</v>
      </c>
      <c r="BG94" s="51">
        <v>0.27300000000000002</v>
      </c>
      <c r="BH94" s="38">
        <v>0.23899999999999999</v>
      </c>
      <c r="BI94" s="38">
        <v>0.2555</v>
      </c>
      <c r="BJ94" s="38">
        <v>0.27600000000000002</v>
      </c>
      <c r="BK94" s="38">
        <v>0.24149999999999999</v>
      </c>
      <c r="BL94" s="38">
        <v>0.247</v>
      </c>
      <c r="BM94" s="38">
        <v>0.26</v>
      </c>
      <c r="BN94" s="56" t="s">
        <v>38</v>
      </c>
      <c r="BO94" s="51">
        <v>0.26050000000000001</v>
      </c>
      <c r="BP94" s="38">
        <v>0.248</v>
      </c>
      <c r="BQ94" s="38">
        <v>0.219</v>
      </c>
      <c r="BR94" s="56">
        <v>0.22600000000000001</v>
      </c>
      <c r="BS94" s="56" t="s">
        <v>38</v>
      </c>
      <c r="BT94" s="56">
        <v>0.214</v>
      </c>
      <c r="BU94" s="42">
        <v>0.20450000000000002</v>
      </c>
      <c r="BV94" s="56">
        <v>0.19850000000000001</v>
      </c>
      <c r="BW94" s="42">
        <v>0.23050000000000001</v>
      </c>
      <c r="BX94" s="42" t="s">
        <v>38</v>
      </c>
      <c r="BY94" s="85">
        <f>(0.305+0.299)/2</f>
        <v>0.30199999999999999</v>
      </c>
      <c r="BZ94" s="85">
        <f>(0.379+0.377)/2</f>
        <v>0.378</v>
      </c>
      <c r="CA94" s="86">
        <v>0.28649999999999998</v>
      </c>
    </row>
    <row r="95" spans="1:79">
      <c r="A95" s="21">
        <v>66</v>
      </c>
      <c r="B95" s="82">
        <v>254555.697189</v>
      </c>
      <c r="C95" s="82">
        <v>4505682.2836199999</v>
      </c>
      <c r="D95" s="19" t="s">
        <v>38</v>
      </c>
      <c r="E95" s="19" t="s">
        <v>38</v>
      </c>
      <c r="F95" s="19" t="s">
        <v>38</v>
      </c>
      <c r="G95" s="19" t="s">
        <v>38</v>
      </c>
      <c r="H95" s="19" t="s">
        <v>38</v>
      </c>
      <c r="I95" s="19" t="s">
        <v>38</v>
      </c>
      <c r="J95" s="19" t="s">
        <v>38</v>
      </c>
      <c r="K95" s="19" t="s">
        <v>38</v>
      </c>
      <c r="L95" s="19" t="s">
        <v>38</v>
      </c>
      <c r="M95" s="19" t="s">
        <v>38</v>
      </c>
      <c r="N95" s="23" t="s">
        <v>38</v>
      </c>
      <c r="O95" s="23" t="s">
        <v>38</v>
      </c>
      <c r="P95" s="23" t="s">
        <v>38</v>
      </c>
      <c r="Q95" s="23" t="s">
        <v>38</v>
      </c>
      <c r="R95" s="23" t="s">
        <v>38</v>
      </c>
      <c r="S95" s="23" t="s">
        <v>38</v>
      </c>
      <c r="T95" s="23" t="s">
        <v>38</v>
      </c>
      <c r="U95" s="23" t="s">
        <v>38</v>
      </c>
      <c r="V95" s="23" t="s">
        <v>38</v>
      </c>
      <c r="W95" s="23" t="s">
        <v>38</v>
      </c>
      <c r="X95" s="23" t="s">
        <v>38</v>
      </c>
      <c r="Y95" s="23" t="s">
        <v>38</v>
      </c>
      <c r="Z95" s="23" t="s">
        <v>38</v>
      </c>
      <c r="AA95" s="23" t="s">
        <v>38</v>
      </c>
      <c r="AB95" s="23" t="s">
        <v>38</v>
      </c>
      <c r="AC95" s="23" t="s">
        <v>38</v>
      </c>
      <c r="AD95" s="23" t="s">
        <v>38</v>
      </c>
      <c r="AE95" s="23" t="s">
        <v>38</v>
      </c>
      <c r="AF95" s="23" t="s">
        <v>38</v>
      </c>
      <c r="AG95" s="23" t="s">
        <v>38</v>
      </c>
      <c r="AH95" s="23" t="s">
        <v>38</v>
      </c>
      <c r="AI95" s="23" t="s">
        <v>38</v>
      </c>
      <c r="AJ95" s="23" t="s">
        <v>38</v>
      </c>
      <c r="AK95" s="23" t="s">
        <v>38</v>
      </c>
      <c r="AL95" s="23" t="s">
        <v>38</v>
      </c>
      <c r="AM95" s="23" t="s">
        <v>38</v>
      </c>
      <c r="AN95" s="23" t="s">
        <v>38</v>
      </c>
      <c r="AO95" s="23" t="s">
        <v>38</v>
      </c>
      <c r="AP95" s="23" t="s">
        <v>38</v>
      </c>
      <c r="AQ95" s="23" t="s">
        <v>38</v>
      </c>
      <c r="AR95" s="23" t="s">
        <v>38</v>
      </c>
      <c r="AS95" s="23" t="s">
        <v>38</v>
      </c>
      <c r="AT95" s="23" t="s">
        <v>38</v>
      </c>
      <c r="AU95" s="23" t="s">
        <v>38</v>
      </c>
      <c r="AV95" s="23" t="s">
        <v>38</v>
      </c>
      <c r="AW95" s="23" t="s">
        <v>38</v>
      </c>
      <c r="AX95" s="23" t="s">
        <v>38</v>
      </c>
      <c r="AY95" s="23" t="s">
        <v>38</v>
      </c>
      <c r="AZ95" s="23" t="s">
        <v>38</v>
      </c>
      <c r="BA95" s="23" t="s">
        <v>38</v>
      </c>
      <c r="BB95" s="23" t="s">
        <v>38</v>
      </c>
      <c r="BC95" s="23" t="s">
        <v>38</v>
      </c>
      <c r="BD95" s="23" t="s">
        <v>38</v>
      </c>
      <c r="BE95" s="23" t="s">
        <v>38</v>
      </c>
      <c r="BF95" s="23" t="s">
        <v>38</v>
      </c>
      <c r="BG95" s="23" t="s">
        <v>38</v>
      </c>
      <c r="BH95" s="23" t="s">
        <v>38</v>
      </c>
      <c r="BI95" s="23" t="s">
        <v>38</v>
      </c>
      <c r="BJ95" s="23" t="s">
        <v>38</v>
      </c>
      <c r="BK95" s="23" t="s">
        <v>38</v>
      </c>
      <c r="BL95" s="23" t="s">
        <v>38</v>
      </c>
      <c r="BM95" s="23" t="s">
        <v>38</v>
      </c>
      <c r="BN95" s="23" t="s">
        <v>38</v>
      </c>
      <c r="BO95" s="23" t="s">
        <v>38</v>
      </c>
      <c r="BP95" s="23" t="s">
        <v>38</v>
      </c>
      <c r="BQ95" s="23" t="s">
        <v>38</v>
      </c>
      <c r="BR95" s="23" t="s">
        <v>38</v>
      </c>
      <c r="BS95" s="23" t="s">
        <v>38</v>
      </c>
      <c r="BT95" s="23" t="s">
        <v>38</v>
      </c>
      <c r="BU95" s="23" t="s">
        <v>38</v>
      </c>
      <c r="BV95" s="23" t="s">
        <v>38</v>
      </c>
      <c r="BW95" s="23" t="s">
        <v>38</v>
      </c>
      <c r="BX95" s="23" t="s">
        <v>38</v>
      </c>
      <c r="BY95" s="69" t="s">
        <v>38</v>
      </c>
      <c r="BZ95" s="69" t="s">
        <v>38</v>
      </c>
      <c r="CA95" s="86" t="s">
        <v>38</v>
      </c>
    </row>
    <row r="96" spans="1:79">
      <c r="A96" s="21">
        <v>67</v>
      </c>
      <c r="B96" s="82">
        <v>254555.67023700001</v>
      </c>
      <c r="C96" s="82">
        <v>4505716.0668700002</v>
      </c>
      <c r="D96" s="19" t="s">
        <v>38</v>
      </c>
      <c r="E96" s="19" t="s">
        <v>38</v>
      </c>
      <c r="F96" s="19" t="s">
        <v>38</v>
      </c>
      <c r="G96" s="19" t="s">
        <v>38</v>
      </c>
      <c r="H96" s="19" t="s">
        <v>38</v>
      </c>
      <c r="I96" s="19" t="s">
        <v>38</v>
      </c>
      <c r="J96" s="19" t="s">
        <v>38</v>
      </c>
      <c r="K96" s="19" t="s">
        <v>38</v>
      </c>
      <c r="L96" s="19" t="s">
        <v>38</v>
      </c>
      <c r="M96" s="19" t="s">
        <v>38</v>
      </c>
      <c r="N96" s="23" t="s">
        <v>38</v>
      </c>
      <c r="O96" s="23" t="s">
        <v>38</v>
      </c>
      <c r="P96" s="23" t="s">
        <v>38</v>
      </c>
      <c r="Q96" s="23" t="s">
        <v>38</v>
      </c>
      <c r="R96" s="23" t="s">
        <v>38</v>
      </c>
      <c r="S96" s="23" t="s">
        <v>38</v>
      </c>
      <c r="T96" s="23" t="s">
        <v>38</v>
      </c>
      <c r="U96" s="23" t="s">
        <v>38</v>
      </c>
      <c r="V96" s="23" t="s">
        <v>38</v>
      </c>
      <c r="W96" s="23" t="s">
        <v>38</v>
      </c>
      <c r="X96" s="23" t="s">
        <v>38</v>
      </c>
      <c r="Y96" s="23" t="s">
        <v>38</v>
      </c>
      <c r="Z96" s="23" t="s">
        <v>38</v>
      </c>
      <c r="AA96" s="23" t="s">
        <v>38</v>
      </c>
      <c r="AB96" s="23" t="s">
        <v>38</v>
      </c>
      <c r="AC96" s="23" t="s">
        <v>38</v>
      </c>
      <c r="AD96" s="23" t="s">
        <v>38</v>
      </c>
      <c r="AE96" s="23" t="s">
        <v>38</v>
      </c>
      <c r="AF96" s="23" t="s">
        <v>38</v>
      </c>
      <c r="AG96" s="23" t="s">
        <v>38</v>
      </c>
      <c r="AH96" s="23" t="s">
        <v>38</v>
      </c>
      <c r="AI96" s="23" t="s">
        <v>38</v>
      </c>
      <c r="AJ96" s="23" t="s">
        <v>38</v>
      </c>
      <c r="AK96" s="23" t="s">
        <v>38</v>
      </c>
      <c r="AL96" s="23" t="s">
        <v>38</v>
      </c>
      <c r="AM96" s="23" t="s">
        <v>38</v>
      </c>
      <c r="AN96" s="23" t="s">
        <v>38</v>
      </c>
      <c r="AO96" s="23" t="s">
        <v>38</v>
      </c>
      <c r="AP96" s="23" t="s">
        <v>38</v>
      </c>
      <c r="AQ96" s="23" t="s">
        <v>38</v>
      </c>
      <c r="AR96" s="23" t="s">
        <v>38</v>
      </c>
      <c r="AS96" s="23" t="s">
        <v>38</v>
      </c>
      <c r="AT96" s="23" t="s">
        <v>38</v>
      </c>
      <c r="AU96" s="23" t="s">
        <v>38</v>
      </c>
      <c r="AV96" s="23" t="s">
        <v>38</v>
      </c>
      <c r="AW96" s="23" t="s">
        <v>38</v>
      </c>
      <c r="AX96" s="23" t="s">
        <v>38</v>
      </c>
      <c r="AY96" s="51">
        <v>0.253</v>
      </c>
      <c r="AZ96" s="51">
        <v>0.23699999999999999</v>
      </c>
      <c r="BA96" s="51">
        <v>0.20100000000000001</v>
      </c>
      <c r="BB96" s="23" t="s">
        <v>38</v>
      </c>
      <c r="BC96" s="23" t="s">
        <v>38</v>
      </c>
      <c r="BD96" s="23" t="s">
        <v>38</v>
      </c>
      <c r="BE96" s="23" t="s">
        <v>38</v>
      </c>
      <c r="BF96" s="23" t="s">
        <v>38</v>
      </c>
      <c r="BG96" s="23" t="s">
        <v>38</v>
      </c>
      <c r="BH96" s="23" t="s">
        <v>38</v>
      </c>
      <c r="BI96" s="23" t="s">
        <v>38</v>
      </c>
      <c r="BJ96" s="23" t="s">
        <v>38</v>
      </c>
      <c r="BK96" s="23" t="s">
        <v>38</v>
      </c>
      <c r="BL96" s="23" t="s">
        <v>38</v>
      </c>
      <c r="BM96" s="23" t="s">
        <v>38</v>
      </c>
      <c r="BN96" s="23" t="s">
        <v>38</v>
      </c>
      <c r="BO96" s="23" t="s">
        <v>38</v>
      </c>
      <c r="BP96" s="23" t="s">
        <v>38</v>
      </c>
      <c r="BQ96" s="23" t="s">
        <v>38</v>
      </c>
      <c r="BR96" s="23" t="s">
        <v>38</v>
      </c>
      <c r="BS96" s="23" t="s">
        <v>38</v>
      </c>
      <c r="BT96" s="23" t="s">
        <v>38</v>
      </c>
      <c r="BU96" s="23" t="s">
        <v>38</v>
      </c>
      <c r="BV96" s="23" t="s">
        <v>38</v>
      </c>
      <c r="BW96" s="23" t="s">
        <v>38</v>
      </c>
      <c r="BX96" s="23" t="s">
        <v>38</v>
      </c>
      <c r="BY96" s="85" t="s">
        <v>38</v>
      </c>
      <c r="BZ96" s="85" t="s">
        <v>38</v>
      </c>
      <c r="CA96" s="86" t="s">
        <v>38</v>
      </c>
    </row>
    <row r="97" spans="1:79">
      <c r="A97" s="21">
        <v>68</v>
      </c>
      <c r="B97" s="82">
        <v>254550.90865100001</v>
      </c>
      <c r="C97" s="82">
        <v>4505648.5313400002</v>
      </c>
      <c r="D97" s="19" t="s">
        <v>38</v>
      </c>
      <c r="E97" s="19">
        <v>0.23050000000000001</v>
      </c>
      <c r="F97" s="19">
        <v>0.23150000000000001</v>
      </c>
      <c r="G97" s="19">
        <v>0.221</v>
      </c>
      <c r="H97" s="19">
        <v>0.22950000000000001</v>
      </c>
      <c r="I97" s="19">
        <v>0.1905</v>
      </c>
      <c r="J97" s="19">
        <v>0.17899999999999999</v>
      </c>
      <c r="K97" s="19">
        <v>0.14050000000000001</v>
      </c>
      <c r="L97" s="19">
        <v>0.17049999999999998</v>
      </c>
      <c r="M97" s="19">
        <v>0.13100000000000001</v>
      </c>
      <c r="N97" s="16">
        <v>0.16500000000000001</v>
      </c>
      <c r="O97" s="16">
        <v>0.14050000000000001</v>
      </c>
      <c r="P97" s="16">
        <v>0.152</v>
      </c>
      <c r="Q97" s="16">
        <v>0.22700000000000001</v>
      </c>
      <c r="R97" s="16">
        <v>0.216</v>
      </c>
      <c r="S97" s="16">
        <v>0.22500000000000001</v>
      </c>
      <c r="T97" s="51" t="s">
        <v>38</v>
      </c>
      <c r="U97" s="51">
        <v>0.23599999999999999</v>
      </c>
      <c r="V97" s="51">
        <v>0.25600000000000001</v>
      </c>
      <c r="W97" s="51">
        <v>0.249</v>
      </c>
      <c r="X97" s="51">
        <v>0.23400000000000001</v>
      </c>
      <c r="Y97" s="51">
        <v>0.215</v>
      </c>
      <c r="Z97" s="51">
        <v>0.23899999999999999</v>
      </c>
      <c r="AA97" s="51">
        <v>0.24</v>
      </c>
      <c r="AB97" s="51">
        <v>0.246</v>
      </c>
      <c r="AC97" s="51">
        <v>0.248</v>
      </c>
      <c r="AD97" s="51">
        <v>0.217</v>
      </c>
      <c r="AE97" s="51">
        <v>0.20799999999999999</v>
      </c>
      <c r="AF97" s="51">
        <v>0.184</v>
      </c>
      <c r="AG97" s="51">
        <v>0.19900000000000001</v>
      </c>
      <c r="AH97" s="51">
        <v>0.182</v>
      </c>
      <c r="AI97" s="51">
        <v>0.17399999999999999</v>
      </c>
      <c r="AJ97" s="51">
        <v>0.17199999999999999</v>
      </c>
      <c r="AK97" s="51">
        <v>0.154</v>
      </c>
      <c r="AL97" s="51">
        <v>0.23400000000000001</v>
      </c>
      <c r="AM97" s="51" t="s">
        <v>38</v>
      </c>
      <c r="AN97" s="51">
        <v>0.218</v>
      </c>
      <c r="AO97" s="51">
        <v>0.17199999999999999</v>
      </c>
      <c r="AP97" s="51">
        <v>0.186</v>
      </c>
      <c r="AQ97" s="51">
        <v>0.20300000000000001</v>
      </c>
      <c r="AR97" s="51">
        <v>0.19400000000000001</v>
      </c>
      <c r="AS97" s="51">
        <v>0.18099999999999999</v>
      </c>
      <c r="AT97" s="51">
        <v>0.19900000000000001</v>
      </c>
      <c r="AU97" s="51">
        <v>0.184</v>
      </c>
      <c r="AV97" s="51">
        <v>0.17199999999999999</v>
      </c>
      <c r="AW97" s="51">
        <v>0.161</v>
      </c>
      <c r="AX97" s="51">
        <v>0.158</v>
      </c>
      <c r="AY97" s="51">
        <v>0.23899999999999999</v>
      </c>
      <c r="AZ97" s="51">
        <v>0.23699999999999999</v>
      </c>
      <c r="BA97" s="51">
        <v>0.23799999999999999</v>
      </c>
      <c r="BB97" s="52">
        <v>0.14799999999999999</v>
      </c>
      <c r="BC97" s="51">
        <v>0.20550000000000002</v>
      </c>
      <c r="BD97" s="23" t="s">
        <v>38</v>
      </c>
      <c r="BE97" s="23" t="s">
        <v>38</v>
      </c>
      <c r="BF97" s="23" t="s">
        <v>38</v>
      </c>
      <c r="BG97" s="51">
        <v>0.23100000000000001</v>
      </c>
      <c r="BH97" s="38">
        <v>0.20300000000000001</v>
      </c>
      <c r="BI97" s="38">
        <v>0.221</v>
      </c>
      <c r="BJ97" s="38">
        <v>0.24099999999999999</v>
      </c>
      <c r="BK97" s="38">
        <v>0.217</v>
      </c>
      <c r="BL97" s="38">
        <v>0.20450000000000002</v>
      </c>
      <c r="BM97" s="38">
        <v>0.22</v>
      </c>
      <c r="BN97" s="23" t="s">
        <v>38</v>
      </c>
      <c r="BO97" s="51">
        <v>0.217</v>
      </c>
      <c r="BP97" s="38">
        <v>0.19950000000000001</v>
      </c>
      <c r="BQ97" s="38">
        <v>0.19550000000000001</v>
      </c>
      <c r="BR97" s="56">
        <v>0.19350000000000001</v>
      </c>
      <c r="BS97" s="23" t="s">
        <v>38</v>
      </c>
      <c r="BT97" s="56">
        <v>0.185</v>
      </c>
      <c r="BU97" s="42">
        <v>0.192</v>
      </c>
      <c r="BV97" s="23" t="s">
        <v>38</v>
      </c>
      <c r="BW97" s="42">
        <v>0.22550000000000001</v>
      </c>
      <c r="BX97" s="23" t="s">
        <v>38</v>
      </c>
      <c r="BY97" s="85">
        <f>(0.273+0.284)/2</f>
        <v>0.27849999999999997</v>
      </c>
      <c r="BZ97" s="85">
        <f>(0.338+0.35)/2</f>
        <v>0.34399999999999997</v>
      </c>
      <c r="CA97" s="86">
        <v>0.26750000000000002</v>
      </c>
    </row>
    <row r="98" spans="1:79">
      <c r="A98" s="21">
        <v>69</v>
      </c>
      <c r="B98" s="83">
        <v>254597.82972499999</v>
      </c>
      <c r="C98" s="83">
        <v>4505663.6450399999</v>
      </c>
      <c r="D98" s="19" t="s">
        <v>38</v>
      </c>
      <c r="E98" s="19" t="s">
        <v>38</v>
      </c>
      <c r="F98" s="19" t="s">
        <v>38</v>
      </c>
      <c r="G98" s="19" t="s">
        <v>38</v>
      </c>
      <c r="H98" s="19" t="s">
        <v>38</v>
      </c>
      <c r="I98" s="19" t="s">
        <v>38</v>
      </c>
      <c r="J98" s="19" t="s">
        <v>38</v>
      </c>
      <c r="K98" s="19" t="s">
        <v>38</v>
      </c>
      <c r="L98" s="19" t="s">
        <v>38</v>
      </c>
      <c r="M98" s="19" t="s">
        <v>38</v>
      </c>
      <c r="N98" s="23" t="s">
        <v>38</v>
      </c>
      <c r="O98" s="23" t="s">
        <v>38</v>
      </c>
      <c r="P98" s="23" t="s">
        <v>38</v>
      </c>
      <c r="Q98" s="23" t="s">
        <v>38</v>
      </c>
      <c r="R98" s="23" t="s">
        <v>38</v>
      </c>
      <c r="S98" s="23" t="s">
        <v>38</v>
      </c>
      <c r="T98" s="23" t="s">
        <v>38</v>
      </c>
      <c r="U98" s="23" t="s">
        <v>38</v>
      </c>
      <c r="V98" s="23" t="s">
        <v>38</v>
      </c>
      <c r="W98" s="23" t="s">
        <v>38</v>
      </c>
      <c r="X98" s="23" t="s">
        <v>38</v>
      </c>
      <c r="Y98" s="23" t="s">
        <v>38</v>
      </c>
      <c r="Z98" s="23" t="s">
        <v>38</v>
      </c>
      <c r="AA98" s="23" t="s">
        <v>38</v>
      </c>
      <c r="AB98" s="23" t="s">
        <v>38</v>
      </c>
      <c r="AC98" s="23" t="s">
        <v>38</v>
      </c>
      <c r="AD98" s="23" t="s">
        <v>38</v>
      </c>
      <c r="AE98" s="23" t="s">
        <v>38</v>
      </c>
      <c r="AF98" s="23" t="s">
        <v>38</v>
      </c>
      <c r="AG98" s="23" t="s">
        <v>38</v>
      </c>
      <c r="AH98" s="23" t="s">
        <v>38</v>
      </c>
      <c r="AI98" s="23" t="s">
        <v>38</v>
      </c>
      <c r="AJ98" s="23" t="s">
        <v>38</v>
      </c>
      <c r="AK98" s="23" t="s">
        <v>38</v>
      </c>
      <c r="AL98" s="23" t="s">
        <v>38</v>
      </c>
      <c r="AM98" s="23" t="s">
        <v>38</v>
      </c>
      <c r="AN98" s="23" t="s">
        <v>38</v>
      </c>
      <c r="AO98" s="23" t="s">
        <v>38</v>
      </c>
      <c r="AP98" s="23" t="s">
        <v>38</v>
      </c>
      <c r="AQ98" s="23" t="s">
        <v>38</v>
      </c>
      <c r="AR98" s="23" t="s">
        <v>38</v>
      </c>
      <c r="AS98" s="23" t="s">
        <v>38</v>
      </c>
      <c r="AT98" s="23" t="s">
        <v>38</v>
      </c>
      <c r="AU98" s="23" t="s">
        <v>38</v>
      </c>
      <c r="AV98" s="23" t="s">
        <v>38</v>
      </c>
      <c r="AW98" s="23" t="s">
        <v>38</v>
      </c>
      <c r="AX98" s="23" t="s">
        <v>38</v>
      </c>
      <c r="AY98" s="23" t="s">
        <v>38</v>
      </c>
      <c r="AZ98" s="23" t="s">
        <v>38</v>
      </c>
      <c r="BA98" s="23" t="s">
        <v>38</v>
      </c>
      <c r="BB98" s="23" t="s">
        <v>38</v>
      </c>
      <c r="BC98" s="23" t="s">
        <v>38</v>
      </c>
      <c r="BD98" s="23" t="s">
        <v>38</v>
      </c>
      <c r="BE98" s="23" t="s">
        <v>38</v>
      </c>
      <c r="BF98" s="23" t="s">
        <v>38</v>
      </c>
      <c r="BG98" s="23" t="s">
        <v>38</v>
      </c>
      <c r="BH98" s="23" t="s">
        <v>38</v>
      </c>
      <c r="BI98" s="23" t="s">
        <v>38</v>
      </c>
      <c r="BJ98" s="23" t="s">
        <v>38</v>
      </c>
      <c r="BK98" s="23" t="s">
        <v>38</v>
      </c>
      <c r="BL98" s="23" t="s">
        <v>38</v>
      </c>
      <c r="BM98" s="23" t="s">
        <v>38</v>
      </c>
      <c r="BN98" s="23" t="s">
        <v>38</v>
      </c>
      <c r="BO98" s="23" t="s">
        <v>38</v>
      </c>
      <c r="BP98" s="23" t="s">
        <v>38</v>
      </c>
      <c r="BQ98" s="23" t="s">
        <v>38</v>
      </c>
      <c r="BR98" s="23" t="s">
        <v>38</v>
      </c>
      <c r="BS98" s="23" t="s">
        <v>38</v>
      </c>
      <c r="BT98" s="23" t="s">
        <v>38</v>
      </c>
      <c r="BU98" s="23" t="s">
        <v>38</v>
      </c>
      <c r="BV98" s="23" t="s">
        <v>38</v>
      </c>
      <c r="BW98" s="23" t="s">
        <v>38</v>
      </c>
      <c r="BX98" s="23" t="s">
        <v>38</v>
      </c>
      <c r="BY98" s="69" t="s">
        <v>38</v>
      </c>
      <c r="BZ98" s="69" t="s">
        <v>38</v>
      </c>
      <c r="CA98" s="86" t="s">
        <v>38</v>
      </c>
    </row>
    <row r="99" spans="1:79">
      <c r="A99" s="21">
        <v>70</v>
      </c>
      <c r="B99" s="82">
        <v>254634.17014</v>
      </c>
      <c r="C99" s="82">
        <v>4505678.18004</v>
      </c>
      <c r="D99" s="19">
        <v>0.33450000000000002</v>
      </c>
      <c r="E99" s="19">
        <v>0.315</v>
      </c>
      <c r="F99" s="19">
        <v>0.3165</v>
      </c>
      <c r="G99" s="19">
        <v>0.33300000000000002</v>
      </c>
      <c r="H99" s="19">
        <v>0.31850000000000001</v>
      </c>
      <c r="I99" s="19">
        <v>0.28100000000000003</v>
      </c>
      <c r="J99" s="19">
        <v>0.26</v>
      </c>
      <c r="K99" s="19">
        <v>0.20600000000000002</v>
      </c>
      <c r="L99" s="19">
        <v>0.22450000000000001</v>
      </c>
      <c r="M99" s="19">
        <v>0.19350000000000001</v>
      </c>
      <c r="N99" s="16">
        <v>0.224</v>
      </c>
      <c r="O99" s="16">
        <v>0.20150000000000001</v>
      </c>
      <c r="P99" s="16">
        <v>0.20200000000000001</v>
      </c>
      <c r="Q99" s="16">
        <v>0.23699999999999999</v>
      </c>
      <c r="R99" s="16">
        <v>0.28050000000000003</v>
      </c>
      <c r="S99" s="16">
        <v>0.29949999999999999</v>
      </c>
      <c r="T99" s="51">
        <v>0.39700000000000002</v>
      </c>
      <c r="U99" s="51">
        <v>0.378</v>
      </c>
      <c r="V99" s="51">
        <v>0.379</v>
      </c>
      <c r="W99" s="51">
        <v>0.42599999999999999</v>
      </c>
      <c r="X99" s="51">
        <v>0.38200000000000001</v>
      </c>
      <c r="Y99" s="51">
        <v>0.35299999999999998</v>
      </c>
      <c r="Z99" s="51">
        <v>0.38800000000000001</v>
      </c>
      <c r="AA99" s="51">
        <v>0.38200000000000001</v>
      </c>
      <c r="AB99" s="51">
        <v>0.38400000000000001</v>
      </c>
      <c r="AC99" s="51">
        <v>0.38</v>
      </c>
      <c r="AD99" s="51">
        <v>0.36699999999999999</v>
      </c>
      <c r="AE99" s="51">
        <v>0.39</v>
      </c>
      <c r="AF99" s="51">
        <v>0.28599999999999998</v>
      </c>
      <c r="AG99" s="51">
        <v>0.29199999999999998</v>
      </c>
      <c r="AH99" s="51">
        <v>0.223</v>
      </c>
      <c r="AI99" s="51">
        <v>0.24299999999999999</v>
      </c>
      <c r="AJ99" s="51">
        <v>0.21099999999999999</v>
      </c>
      <c r="AK99" s="51">
        <v>0.21099999999999999</v>
      </c>
      <c r="AL99" s="51">
        <v>0.39700000000000002</v>
      </c>
      <c r="AM99" s="51">
        <v>0.39900000000000002</v>
      </c>
      <c r="AN99" s="51">
        <v>0.317</v>
      </c>
      <c r="AO99" s="51">
        <v>0.23400000000000001</v>
      </c>
      <c r="AP99" s="51">
        <v>0.30199999999999999</v>
      </c>
      <c r="AQ99" s="51">
        <v>0.30299999999999999</v>
      </c>
      <c r="AR99" s="51">
        <v>0.28100000000000003</v>
      </c>
      <c r="AS99" s="51">
        <v>0.26600000000000001</v>
      </c>
      <c r="AT99" s="51">
        <v>0.26700000000000002</v>
      </c>
      <c r="AU99" s="51">
        <v>0.245</v>
      </c>
      <c r="AV99" s="51">
        <v>0.23499999999999999</v>
      </c>
      <c r="AW99" s="51">
        <v>0.19800000000000001</v>
      </c>
      <c r="AX99" s="51">
        <v>0.20799999999999999</v>
      </c>
      <c r="AY99" s="51">
        <v>0.17899999999999999</v>
      </c>
      <c r="AZ99" s="51">
        <v>0.17699999999999999</v>
      </c>
      <c r="BA99" s="51">
        <v>0.251</v>
      </c>
      <c r="BB99" s="52">
        <v>0.19350000000000001</v>
      </c>
      <c r="BC99" s="51">
        <v>0.2525</v>
      </c>
      <c r="BD99" s="53">
        <v>0.318</v>
      </c>
      <c r="BE99" s="23" t="s">
        <v>38</v>
      </c>
      <c r="BF99" s="23" t="s">
        <v>38</v>
      </c>
      <c r="BG99" s="51">
        <v>0.34799999999999998</v>
      </c>
      <c r="BH99" s="38">
        <v>0.30199999999999999</v>
      </c>
      <c r="BI99" s="38">
        <v>0.32200000000000001</v>
      </c>
      <c r="BJ99" s="38">
        <v>0.34150000000000003</v>
      </c>
      <c r="BK99" s="38">
        <v>0.307</v>
      </c>
      <c r="BL99" s="38">
        <v>0.2485</v>
      </c>
      <c r="BM99" s="38">
        <v>0.34050000000000002</v>
      </c>
      <c r="BN99" s="23" t="s">
        <v>38</v>
      </c>
      <c r="BO99" s="51">
        <v>0.33600000000000002</v>
      </c>
      <c r="BP99" s="38">
        <v>0.317</v>
      </c>
      <c r="BQ99" s="38">
        <v>0.24299999999999999</v>
      </c>
      <c r="BR99" s="56">
        <v>0.252</v>
      </c>
      <c r="BS99" s="23" t="s">
        <v>38</v>
      </c>
      <c r="BT99" s="56">
        <v>0.22550000000000001</v>
      </c>
      <c r="BU99" s="42">
        <v>0.22800000000000001</v>
      </c>
      <c r="BV99" s="56">
        <v>0.21099999999999999</v>
      </c>
      <c r="BW99" s="42">
        <v>0.23949999999999999</v>
      </c>
      <c r="BX99" s="42">
        <v>0.25650000000000001</v>
      </c>
      <c r="BY99" s="85">
        <f>(0.359+0.388)/2</f>
        <v>0.3735</v>
      </c>
      <c r="BZ99" s="85">
        <f>(0.322+0.323)/2</f>
        <v>0.32250000000000001</v>
      </c>
      <c r="CA99" s="86">
        <v>0.45550000000000002</v>
      </c>
    </row>
    <row r="100" spans="1:79">
      <c r="A100" s="21">
        <v>71</v>
      </c>
      <c r="B100" s="82">
        <v>254591.99662699999</v>
      </c>
      <c r="C100" s="82">
        <v>4505692.3642499996</v>
      </c>
      <c r="D100" s="19" t="s">
        <v>38</v>
      </c>
      <c r="E100" s="19" t="s">
        <v>38</v>
      </c>
      <c r="F100" s="19" t="s">
        <v>38</v>
      </c>
      <c r="G100" s="19" t="s">
        <v>38</v>
      </c>
      <c r="H100" s="19" t="s">
        <v>38</v>
      </c>
      <c r="I100" s="19" t="s">
        <v>38</v>
      </c>
      <c r="J100" s="19" t="s">
        <v>38</v>
      </c>
      <c r="K100" s="19" t="s">
        <v>38</v>
      </c>
      <c r="L100" s="19" t="s">
        <v>38</v>
      </c>
      <c r="M100" s="19" t="s">
        <v>38</v>
      </c>
      <c r="N100" s="23" t="s">
        <v>38</v>
      </c>
      <c r="O100" s="23" t="s">
        <v>38</v>
      </c>
      <c r="P100" s="23" t="s">
        <v>38</v>
      </c>
      <c r="Q100" s="23" t="s">
        <v>38</v>
      </c>
      <c r="R100" s="23" t="s">
        <v>38</v>
      </c>
      <c r="S100" s="23" t="s">
        <v>38</v>
      </c>
      <c r="T100" s="23" t="s">
        <v>38</v>
      </c>
      <c r="U100" s="23" t="s">
        <v>38</v>
      </c>
      <c r="V100" s="23" t="s">
        <v>38</v>
      </c>
      <c r="W100" s="23" t="s">
        <v>38</v>
      </c>
      <c r="X100" s="23" t="s">
        <v>38</v>
      </c>
      <c r="Y100" s="23" t="s">
        <v>38</v>
      </c>
      <c r="Z100" s="23" t="s">
        <v>38</v>
      </c>
      <c r="AA100" s="23" t="s">
        <v>38</v>
      </c>
      <c r="AB100" s="23" t="s">
        <v>38</v>
      </c>
      <c r="AC100" s="23" t="s">
        <v>38</v>
      </c>
      <c r="AD100" s="23" t="s">
        <v>38</v>
      </c>
      <c r="AE100" s="23" t="s">
        <v>38</v>
      </c>
      <c r="AF100" s="23" t="s">
        <v>38</v>
      </c>
      <c r="AG100" s="23" t="s">
        <v>38</v>
      </c>
      <c r="AH100" s="23" t="s">
        <v>38</v>
      </c>
      <c r="AI100" s="23" t="s">
        <v>38</v>
      </c>
      <c r="AJ100" s="23" t="s">
        <v>38</v>
      </c>
      <c r="AK100" s="23" t="s">
        <v>38</v>
      </c>
      <c r="AL100" s="23" t="s">
        <v>38</v>
      </c>
      <c r="AM100" s="23" t="s">
        <v>38</v>
      </c>
      <c r="AN100" s="23" t="s">
        <v>38</v>
      </c>
      <c r="AO100" s="23" t="s">
        <v>38</v>
      </c>
      <c r="AP100" s="23" t="s">
        <v>38</v>
      </c>
      <c r="AQ100" s="23" t="s">
        <v>38</v>
      </c>
      <c r="AR100" s="23" t="s">
        <v>38</v>
      </c>
      <c r="AS100" s="23" t="s">
        <v>38</v>
      </c>
      <c r="AT100" s="23" t="s">
        <v>38</v>
      </c>
      <c r="AU100" s="23" t="s">
        <v>38</v>
      </c>
      <c r="AV100" s="23" t="s">
        <v>38</v>
      </c>
      <c r="AW100" s="23" t="s">
        <v>38</v>
      </c>
      <c r="AX100" s="23" t="s">
        <v>38</v>
      </c>
      <c r="AY100" s="23" t="s">
        <v>38</v>
      </c>
      <c r="AZ100" s="23" t="s">
        <v>38</v>
      </c>
      <c r="BA100" s="23" t="s">
        <v>38</v>
      </c>
      <c r="BB100" s="23" t="s">
        <v>38</v>
      </c>
      <c r="BC100" s="23" t="s">
        <v>38</v>
      </c>
      <c r="BD100" s="23" t="s">
        <v>38</v>
      </c>
      <c r="BE100" s="23" t="s">
        <v>38</v>
      </c>
      <c r="BF100" s="23" t="s">
        <v>38</v>
      </c>
      <c r="BG100" s="23" t="s">
        <v>38</v>
      </c>
      <c r="BH100" s="23" t="s">
        <v>38</v>
      </c>
      <c r="BI100" s="23" t="s">
        <v>38</v>
      </c>
      <c r="BJ100" s="23" t="s">
        <v>38</v>
      </c>
      <c r="BK100" s="23" t="s">
        <v>38</v>
      </c>
      <c r="BL100" s="23" t="s">
        <v>38</v>
      </c>
      <c r="BM100" s="23" t="s">
        <v>38</v>
      </c>
      <c r="BN100" s="23" t="s">
        <v>38</v>
      </c>
      <c r="BO100" s="23" t="s">
        <v>38</v>
      </c>
      <c r="BP100" s="23" t="s">
        <v>38</v>
      </c>
      <c r="BQ100" s="23" t="s">
        <v>38</v>
      </c>
      <c r="BR100" s="23" t="s">
        <v>38</v>
      </c>
      <c r="BS100" s="23" t="s">
        <v>38</v>
      </c>
      <c r="BT100" s="23" t="s">
        <v>38</v>
      </c>
      <c r="BU100" s="23" t="s">
        <v>38</v>
      </c>
      <c r="BV100" s="23" t="s">
        <v>38</v>
      </c>
      <c r="BW100" s="23" t="s">
        <v>38</v>
      </c>
      <c r="BX100" s="23" t="s">
        <v>38</v>
      </c>
      <c r="BY100" s="69" t="s">
        <v>38</v>
      </c>
      <c r="BZ100" s="69" t="s">
        <v>38</v>
      </c>
      <c r="CA100" s="86" t="s">
        <v>38</v>
      </c>
    </row>
    <row r="101" spans="1:79">
      <c r="A101" s="21">
        <v>72</v>
      </c>
      <c r="B101" s="82">
        <v>254645.76749900001</v>
      </c>
      <c r="C101" s="82">
        <v>4505710.0379499998</v>
      </c>
      <c r="D101" s="19">
        <v>0.36349999999999999</v>
      </c>
      <c r="E101" s="19">
        <v>0.30549999999999999</v>
      </c>
      <c r="F101" s="19">
        <v>0.32350000000000001</v>
      </c>
      <c r="G101" s="19">
        <v>0.32900000000000001</v>
      </c>
      <c r="H101" s="19">
        <v>0.29699999999999999</v>
      </c>
      <c r="I101" s="19">
        <v>0.25950000000000001</v>
      </c>
      <c r="J101" s="19">
        <v>0.2185</v>
      </c>
      <c r="K101" s="19">
        <v>0.17050000000000001</v>
      </c>
      <c r="L101" s="19">
        <v>0.20849999999999999</v>
      </c>
      <c r="M101" s="19">
        <v>0.1585</v>
      </c>
      <c r="N101" s="16">
        <v>0.19700000000000001</v>
      </c>
      <c r="O101" s="16">
        <v>0.16300000000000001</v>
      </c>
      <c r="P101" s="16">
        <v>0.16849999999999998</v>
      </c>
      <c r="Q101" s="16">
        <v>0.22600000000000001</v>
      </c>
      <c r="R101" s="16">
        <v>0.26050000000000001</v>
      </c>
      <c r="S101" s="16">
        <v>0.23549999999999999</v>
      </c>
      <c r="T101" s="51">
        <v>0.379</v>
      </c>
      <c r="U101" s="51">
        <v>0.36399999999999999</v>
      </c>
      <c r="V101" s="51">
        <v>0.35899999999999999</v>
      </c>
      <c r="W101" s="51">
        <v>0.43</v>
      </c>
      <c r="X101" s="51">
        <v>0.35799999999999998</v>
      </c>
      <c r="Y101" s="51">
        <v>0.33700000000000002</v>
      </c>
      <c r="Z101" s="51">
        <v>0.36599999999999999</v>
      </c>
      <c r="AA101" s="51">
        <v>0.35</v>
      </c>
      <c r="AB101" s="51">
        <v>0.375</v>
      </c>
      <c r="AC101" s="51">
        <v>0.36299999999999999</v>
      </c>
      <c r="AD101" s="51">
        <v>0.35199999999999998</v>
      </c>
      <c r="AE101" s="51">
        <v>0.29899999999999999</v>
      </c>
      <c r="AF101" s="51">
        <v>0.224</v>
      </c>
      <c r="AG101" s="51">
        <v>0.186</v>
      </c>
      <c r="AH101" s="51">
        <v>0.17699999999999999</v>
      </c>
      <c r="AI101" s="51">
        <v>0.19700000000000001</v>
      </c>
      <c r="AJ101" s="51">
        <v>0.20899999999999999</v>
      </c>
      <c r="AK101" s="51">
        <v>0.21099999999999999</v>
      </c>
      <c r="AL101" s="51">
        <v>0.32200000000000001</v>
      </c>
      <c r="AM101" s="51">
        <v>0.40500000000000003</v>
      </c>
      <c r="AN101" s="51">
        <v>0.254</v>
      </c>
      <c r="AO101" s="51">
        <v>0.221</v>
      </c>
      <c r="AP101" s="51">
        <v>0.28100000000000003</v>
      </c>
      <c r="AQ101" s="51">
        <v>0.27100000000000002</v>
      </c>
      <c r="AR101" s="51">
        <v>0.253</v>
      </c>
      <c r="AS101" s="51">
        <v>0.253</v>
      </c>
      <c r="AT101" s="51">
        <v>0.23400000000000001</v>
      </c>
      <c r="AU101" s="51">
        <v>0.20899999999999999</v>
      </c>
      <c r="AV101" s="51">
        <v>0.185</v>
      </c>
      <c r="AW101" s="51">
        <v>0.17299999999999999</v>
      </c>
      <c r="AX101" s="51">
        <v>0.17</v>
      </c>
      <c r="AY101" s="23" t="s">
        <v>38</v>
      </c>
      <c r="AZ101" s="23" t="s">
        <v>38</v>
      </c>
      <c r="BA101" s="51">
        <v>0.17799999999999999</v>
      </c>
      <c r="BB101" s="52">
        <v>0.20499999999999999</v>
      </c>
      <c r="BC101" s="51">
        <v>0.27400000000000002</v>
      </c>
      <c r="BD101" s="53">
        <v>0.27600000000000002</v>
      </c>
      <c r="BE101" s="23" t="s">
        <v>38</v>
      </c>
      <c r="BF101" s="23" t="s">
        <v>38</v>
      </c>
      <c r="BG101" s="51">
        <v>0.33</v>
      </c>
      <c r="BH101" s="38">
        <v>0.29349999999999998</v>
      </c>
      <c r="BI101" s="38">
        <v>0.31900000000000001</v>
      </c>
      <c r="BJ101" s="38">
        <v>0.33750000000000002</v>
      </c>
      <c r="BK101" s="38">
        <v>0.3105</v>
      </c>
      <c r="BL101" s="38">
        <v>0.30149999999999999</v>
      </c>
      <c r="BM101" s="38">
        <v>0.32900000000000001</v>
      </c>
      <c r="BN101" s="23" t="s">
        <v>38</v>
      </c>
      <c r="BO101" s="51">
        <v>0.3175</v>
      </c>
      <c r="BP101" s="38">
        <v>0.30199999999999999</v>
      </c>
      <c r="BQ101" s="38">
        <v>0.21249999999999999</v>
      </c>
      <c r="BR101" s="56">
        <v>0.21099999999999999</v>
      </c>
      <c r="BS101" s="23" t="s">
        <v>38</v>
      </c>
      <c r="BT101" s="56">
        <v>0.19500000000000001</v>
      </c>
      <c r="BU101" s="42">
        <v>0.182</v>
      </c>
      <c r="BV101" s="56">
        <v>0.18</v>
      </c>
      <c r="BW101" s="42">
        <v>0.192</v>
      </c>
      <c r="BX101" s="23" t="s">
        <v>38</v>
      </c>
      <c r="BY101" s="85">
        <f>(0.345+0.351)/2</f>
        <v>0.34799999999999998</v>
      </c>
      <c r="BZ101" s="85">
        <v>0.317</v>
      </c>
      <c r="CA101" s="86">
        <v>0.438</v>
      </c>
    </row>
    <row r="102" spans="1:79">
      <c r="A102" s="21">
        <v>73</v>
      </c>
      <c r="B102" s="82">
        <v>254636.46085900001</v>
      </c>
      <c r="C102" s="82">
        <v>4505694.7106600003</v>
      </c>
      <c r="D102" s="19">
        <v>0.36349999999999999</v>
      </c>
      <c r="E102" s="19">
        <v>0.25</v>
      </c>
      <c r="F102" s="19">
        <v>0.2525</v>
      </c>
      <c r="G102" s="19">
        <v>0.26300000000000001</v>
      </c>
      <c r="H102" s="19">
        <v>0.22500000000000001</v>
      </c>
      <c r="I102" s="19">
        <v>0.20749999999999999</v>
      </c>
      <c r="J102" s="19">
        <v>0.191</v>
      </c>
      <c r="K102" s="19">
        <v>0.1605</v>
      </c>
      <c r="L102" s="19">
        <v>0.16700000000000001</v>
      </c>
      <c r="M102" s="19">
        <v>0.14599999999999999</v>
      </c>
      <c r="N102" s="16">
        <v>0.19600000000000001</v>
      </c>
      <c r="O102" s="16">
        <v>0.14599999999999999</v>
      </c>
      <c r="P102" s="16">
        <v>0.14949999999999999</v>
      </c>
      <c r="Q102" s="16">
        <v>0.20949999999999999</v>
      </c>
      <c r="R102" s="16">
        <v>0.23050000000000001</v>
      </c>
      <c r="S102" s="16">
        <v>0.20250000000000001</v>
      </c>
      <c r="T102" s="51">
        <v>0.35299999999999998</v>
      </c>
      <c r="U102" s="51">
        <v>0.28299999999999997</v>
      </c>
      <c r="V102" s="51">
        <v>0.28299999999999997</v>
      </c>
      <c r="W102" s="51">
        <v>0.32300000000000001</v>
      </c>
      <c r="X102" s="51">
        <v>0.27700000000000002</v>
      </c>
      <c r="Y102" s="51">
        <v>0.27600000000000002</v>
      </c>
      <c r="Z102" s="51">
        <v>0.3</v>
      </c>
      <c r="AA102" s="51">
        <v>0.29499999999999998</v>
      </c>
      <c r="AB102" s="51">
        <v>0.30599999999999999</v>
      </c>
      <c r="AC102" s="51">
        <v>0.307</v>
      </c>
      <c r="AD102" s="51">
        <v>0.30499999999999999</v>
      </c>
      <c r="AE102" s="51">
        <v>0.23400000000000001</v>
      </c>
      <c r="AF102" s="51">
        <v>0.21199999999999999</v>
      </c>
      <c r="AG102" s="51">
        <v>0.19</v>
      </c>
      <c r="AH102" s="51">
        <v>0.16800000000000001</v>
      </c>
      <c r="AI102" s="51">
        <v>0.154</v>
      </c>
      <c r="AJ102" s="51">
        <v>0.186</v>
      </c>
      <c r="AK102" s="51">
        <v>0.182</v>
      </c>
      <c r="AL102" s="51">
        <v>0.314</v>
      </c>
      <c r="AM102" s="51">
        <v>0.36699999999999999</v>
      </c>
      <c r="AN102" s="51">
        <v>0.28899999999999998</v>
      </c>
      <c r="AO102" s="51">
        <v>0.19400000000000001</v>
      </c>
      <c r="AP102" s="51">
        <v>0.27200000000000002</v>
      </c>
      <c r="AQ102" s="51">
        <v>0.22600000000000001</v>
      </c>
      <c r="AR102" s="51">
        <v>0.216</v>
      </c>
      <c r="AS102" s="51">
        <v>0.20499999999999999</v>
      </c>
      <c r="AT102" s="51">
        <v>0.20100000000000001</v>
      </c>
      <c r="AU102" s="51">
        <v>0.18</v>
      </c>
      <c r="AV102" s="51">
        <v>0.17299999999999999</v>
      </c>
      <c r="AW102" s="51">
        <v>0.159</v>
      </c>
      <c r="AX102" s="51">
        <v>0.153</v>
      </c>
      <c r="AY102" s="23" t="s">
        <v>38</v>
      </c>
      <c r="AZ102" s="23" t="s">
        <v>38</v>
      </c>
      <c r="BA102" s="51" t="s">
        <v>38</v>
      </c>
      <c r="BB102" s="52">
        <v>0.13850000000000001</v>
      </c>
      <c r="BC102" s="51">
        <v>0.21199999999999999</v>
      </c>
      <c r="BD102" s="53">
        <v>0.2205</v>
      </c>
      <c r="BE102" s="23" t="s">
        <v>38</v>
      </c>
      <c r="BF102" s="23" t="s">
        <v>38</v>
      </c>
      <c r="BG102" s="51">
        <v>0.26650000000000001</v>
      </c>
      <c r="BH102" s="38">
        <v>0.23549999999999999</v>
      </c>
      <c r="BI102" s="38">
        <v>0.26650000000000001</v>
      </c>
      <c r="BJ102" s="38">
        <v>0.26650000000000001</v>
      </c>
      <c r="BK102" s="38">
        <v>0.2455</v>
      </c>
      <c r="BL102" s="38">
        <v>0.2485</v>
      </c>
      <c r="BM102" s="38">
        <v>0.27650000000000002</v>
      </c>
      <c r="BN102" s="23" t="s">
        <v>38</v>
      </c>
      <c r="BO102" s="51">
        <v>0.27250000000000002</v>
      </c>
      <c r="BP102" s="38">
        <v>0.254</v>
      </c>
      <c r="BQ102" s="38">
        <v>0.17399999999999999</v>
      </c>
      <c r="BR102" s="56">
        <v>0.182</v>
      </c>
      <c r="BS102" s="23" t="s">
        <v>38</v>
      </c>
      <c r="BT102" s="56">
        <v>0.16550000000000001</v>
      </c>
      <c r="BU102" s="42">
        <v>0.182</v>
      </c>
      <c r="BV102" s="56">
        <v>0.17</v>
      </c>
      <c r="BW102" s="42">
        <v>0.20300000000000001</v>
      </c>
      <c r="BX102" s="42">
        <v>0.22500000000000001</v>
      </c>
      <c r="BY102" s="85">
        <f>(0.28+0.306)/2</f>
        <v>0.29300000000000004</v>
      </c>
      <c r="BZ102" s="85">
        <f>(0.277+0.28)/2</f>
        <v>0.27850000000000003</v>
      </c>
      <c r="CA102" s="86">
        <v>0.373</v>
      </c>
    </row>
    <row r="103" spans="1:79">
      <c r="A103" s="21">
        <v>74</v>
      </c>
      <c r="B103" s="82">
        <v>254459.02979100001</v>
      </c>
      <c r="C103" s="82">
        <v>4505693.6283600004</v>
      </c>
      <c r="D103" s="19">
        <v>0.30199999999999999</v>
      </c>
      <c r="E103" s="19" t="s">
        <v>38</v>
      </c>
      <c r="F103" s="19" t="s">
        <v>38</v>
      </c>
      <c r="G103" s="19" t="s">
        <v>38</v>
      </c>
      <c r="H103" s="19" t="s">
        <v>38</v>
      </c>
      <c r="I103" s="19" t="s">
        <v>38</v>
      </c>
      <c r="J103" s="19" t="s">
        <v>38</v>
      </c>
      <c r="K103" s="19" t="s">
        <v>38</v>
      </c>
      <c r="L103" s="19" t="s">
        <v>38</v>
      </c>
      <c r="M103" s="19" t="s">
        <v>38</v>
      </c>
      <c r="N103" s="23" t="s">
        <v>38</v>
      </c>
      <c r="O103" s="23" t="s">
        <v>38</v>
      </c>
      <c r="P103" s="23" t="s">
        <v>38</v>
      </c>
      <c r="Q103" s="23" t="s">
        <v>38</v>
      </c>
      <c r="R103" s="23" t="s">
        <v>38</v>
      </c>
      <c r="S103" s="23" t="s">
        <v>38</v>
      </c>
      <c r="T103" s="23" t="s">
        <v>38</v>
      </c>
      <c r="U103" s="23" t="s">
        <v>38</v>
      </c>
      <c r="V103" s="23" t="s">
        <v>38</v>
      </c>
      <c r="W103" s="23" t="s">
        <v>38</v>
      </c>
      <c r="X103" s="23" t="s">
        <v>38</v>
      </c>
      <c r="Y103" s="23" t="s">
        <v>38</v>
      </c>
      <c r="Z103" s="23" t="s">
        <v>38</v>
      </c>
      <c r="AA103" s="23" t="s">
        <v>38</v>
      </c>
      <c r="AB103" s="23" t="s">
        <v>38</v>
      </c>
      <c r="AC103" s="23" t="s">
        <v>38</v>
      </c>
      <c r="AD103" s="23" t="s">
        <v>38</v>
      </c>
      <c r="AE103" s="23" t="s">
        <v>38</v>
      </c>
      <c r="AF103" s="23" t="s">
        <v>38</v>
      </c>
      <c r="AG103" s="23" t="s">
        <v>38</v>
      </c>
      <c r="AH103" s="23" t="s">
        <v>38</v>
      </c>
      <c r="AI103" s="23" t="s">
        <v>38</v>
      </c>
      <c r="AJ103" s="23" t="s">
        <v>38</v>
      </c>
      <c r="AK103" s="23" t="s">
        <v>38</v>
      </c>
      <c r="AL103" s="23" t="s">
        <v>38</v>
      </c>
      <c r="AM103" s="23" t="s">
        <v>38</v>
      </c>
      <c r="AN103" s="23" t="s">
        <v>38</v>
      </c>
      <c r="AO103" s="23" t="s">
        <v>38</v>
      </c>
      <c r="AP103" s="23" t="s">
        <v>38</v>
      </c>
      <c r="AQ103" s="23" t="s">
        <v>38</v>
      </c>
      <c r="AR103" s="23" t="s">
        <v>38</v>
      </c>
      <c r="AS103" s="23" t="s">
        <v>38</v>
      </c>
      <c r="AT103" s="23" t="s">
        <v>38</v>
      </c>
      <c r="AU103" s="23" t="s">
        <v>38</v>
      </c>
      <c r="AV103" s="23" t="s">
        <v>38</v>
      </c>
      <c r="AW103" s="23" t="s">
        <v>38</v>
      </c>
      <c r="AX103" s="23" t="s">
        <v>38</v>
      </c>
      <c r="AY103" s="51">
        <v>0.23799999999999999</v>
      </c>
      <c r="AZ103" s="51">
        <v>0.21099999999999999</v>
      </c>
      <c r="BA103" s="51" t="s">
        <v>38</v>
      </c>
      <c r="BB103" s="51" t="s">
        <v>38</v>
      </c>
      <c r="BC103" s="51" t="s">
        <v>38</v>
      </c>
      <c r="BD103" s="51" t="s">
        <v>38</v>
      </c>
      <c r="BE103" s="51" t="s">
        <v>38</v>
      </c>
      <c r="BF103" s="51" t="s">
        <v>38</v>
      </c>
      <c r="BG103" s="51" t="s">
        <v>38</v>
      </c>
      <c r="BH103" s="51" t="s">
        <v>38</v>
      </c>
      <c r="BI103" s="51" t="s">
        <v>38</v>
      </c>
      <c r="BJ103" s="51" t="s">
        <v>38</v>
      </c>
      <c r="BK103" s="51" t="s">
        <v>38</v>
      </c>
      <c r="BL103" s="51" t="s">
        <v>38</v>
      </c>
      <c r="BM103" s="51" t="s">
        <v>38</v>
      </c>
      <c r="BN103" s="51" t="s">
        <v>38</v>
      </c>
      <c r="BO103" s="51" t="s">
        <v>38</v>
      </c>
      <c r="BP103" s="51" t="s">
        <v>38</v>
      </c>
      <c r="BQ103" s="51" t="s">
        <v>38</v>
      </c>
      <c r="BR103" s="51" t="s">
        <v>38</v>
      </c>
      <c r="BS103" s="51" t="s">
        <v>38</v>
      </c>
      <c r="BT103" s="51" t="s">
        <v>38</v>
      </c>
      <c r="BU103" s="51" t="s">
        <v>38</v>
      </c>
      <c r="BV103" s="51" t="s">
        <v>38</v>
      </c>
      <c r="BW103" s="51" t="s">
        <v>38</v>
      </c>
      <c r="BX103" s="51" t="s">
        <v>38</v>
      </c>
      <c r="BY103" s="85" t="s">
        <v>38</v>
      </c>
      <c r="BZ103" s="85" t="s">
        <v>38</v>
      </c>
      <c r="CA103" s="86" t="s">
        <v>38</v>
      </c>
    </row>
    <row r="104" spans="1:79">
      <c r="A104" s="21" t="s">
        <v>35</v>
      </c>
      <c r="B104" s="82">
        <v>254460.35351799999</v>
      </c>
      <c r="C104" s="82">
        <v>4505694.28632</v>
      </c>
      <c r="D104" s="19">
        <v>0.23849999999999999</v>
      </c>
      <c r="E104" s="19" t="s">
        <v>38</v>
      </c>
      <c r="F104" s="19" t="s">
        <v>38</v>
      </c>
      <c r="G104" s="19" t="s">
        <v>38</v>
      </c>
      <c r="H104" s="19" t="s">
        <v>38</v>
      </c>
      <c r="I104" s="19" t="s">
        <v>38</v>
      </c>
      <c r="J104" s="19" t="s">
        <v>38</v>
      </c>
      <c r="K104" s="19" t="s">
        <v>38</v>
      </c>
      <c r="L104" s="19" t="s">
        <v>38</v>
      </c>
      <c r="M104" s="19" t="s">
        <v>38</v>
      </c>
      <c r="N104" s="23" t="s">
        <v>38</v>
      </c>
      <c r="O104" s="23" t="s">
        <v>38</v>
      </c>
      <c r="P104" s="23" t="s">
        <v>38</v>
      </c>
      <c r="Q104" s="23" t="s">
        <v>38</v>
      </c>
      <c r="R104" s="23" t="s">
        <v>38</v>
      </c>
      <c r="S104" s="23" t="s">
        <v>38</v>
      </c>
      <c r="T104" s="23" t="s">
        <v>38</v>
      </c>
      <c r="U104" s="23" t="s">
        <v>38</v>
      </c>
      <c r="V104" s="23" t="s">
        <v>38</v>
      </c>
      <c r="W104" s="23" t="s">
        <v>38</v>
      </c>
      <c r="X104" s="23" t="s">
        <v>38</v>
      </c>
      <c r="Y104" s="23" t="s">
        <v>38</v>
      </c>
      <c r="Z104" s="23" t="s">
        <v>38</v>
      </c>
      <c r="AA104" s="23" t="s">
        <v>38</v>
      </c>
      <c r="AB104" s="23" t="s">
        <v>38</v>
      </c>
      <c r="AC104" s="23" t="s">
        <v>38</v>
      </c>
      <c r="AD104" s="23" t="s">
        <v>38</v>
      </c>
      <c r="AE104" s="23" t="s">
        <v>38</v>
      </c>
      <c r="AF104" s="23" t="s">
        <v>38</v>
      </c>
      <c r="AG104" s="23" t="s">
        <v>38</v>
      </c>
      <c r="AH104" s="23" t="s">
        <v>38</v>
      </c>
      <c r="AI104" s="23" t="s">
        <v>38</v>
      </c>
      <c r="AJ104" s="23" t="s">
        <v>38</v>
      </c>
      <c r="AK104" s="23" t="s">
        <v>38</v>
      </c>
      <c r="AL104" s="23" t="s">
        <v>38</v>
      </c>
      <c r="AM104" s="23" t="s">
        <v>38</v>
      </c>
      <c r="AN104" s="23" t="s">
        <v>38</v>
      </c>
      <c r="AO104" s="23" t="s">
        <v>38</v>
      </c>
      <c r="AP104" s="23" t="s">
        <v>38</v>
      </c>
      <c r="AQ104" s="23" t="s">
        <v>38</v>
      </c>
      <c r="AR104" s="23" t="s">
        <v>38</v>
      </c>
      <c r="AS104" s="23" t="s">
        <v>38</v>
      </c>
      <c r="AT104" s="23" t="s">
        <v>38</v>
      </c>
      <c r="AU104" s="23" t="s">
        <v>38</v>
      </c>
      <c r="AV104" s="23" t="s">
        <v>38</v>
      </c>
      <c r="AW104" s="23" t="s">
        <v>38</v>
      </c>
      <c r="AX104" s="23" t="s">
        <v>38</v>
      </c>
      <c r="AY104" s="23" t="s">
        <v>38</v>
      </c>
      <c r="AZ104" s="23" t="s">
        <v>38</v>
      </c>
      <c r="BA104" s="23" t="s">
        <v>38</v>
      </c>
      <c r="BB104" s="23" t="s">
        <v>38</v>
      </c>
      <c r="BC104" s="23" t="s">
        <v>38</v>
      </c>
      <c r="BD104" s="23" t="s">
        <v>38</v>
      </c>
      <c r="BE104" s="23" t="s">
        <v>38</v>
      </c>
      <c r="BF104" s="23" t="s">
        <v>38</v>
      </c>
      <c r="BG104" s="23" t="s">
        <v>38</v>
      </c>
      <c r="BH104" s="23" t="s">
        <v>38</v>
      </c>
      <c r="BI104" s="23" t="s">
        <v>38</v>
      </c>
      <c r="BJ104" s="23" t="s">
        <v>38</v>
      </c>
      <c r="BK104" s="23" t="s">
        <v>38</v>
      </c>
      <c r="BL104" s="23" t="s">
        <v>38</v>
      </c>
      <c r="BM104" s="23" t="s">
        <v>38</v>
      </c>
      <c r="BN104" s="23" t="s">
        <v>38</v>
      </c>
      <c r="BO104" s="23" t="s">
        <v>38</v>
      </c>
      <c r="BP104" s="23" t="s">
        <v>38</v>
      </c>
      <c r="BQ104" s="23" t="s">
        <v>38</v>
      </c>
      <c r="BR104" s="23" t="s">
        <v>38</v>
      </c>
      <c r="BS104" s="23" t="s">
        <v>38</v>
      </c>
      <c r="BT104" s="23" t="s">
        <v>38</v>
      </c>
      <c r="BU104" s="23" t="s">
        <v>38</v>
      </c>
      <c r="BV104" s="23" t="s">
        <v>38</v>
      </c>
      <c r="BW104" s="23" t="s">
        <v>38</v>
      </c>
      <c r="BX104" s="23" t="s">
        <v>38</v>
      </c>
      <c r="BY104" s="85" t="s">
        <v>38</v>
      </c>
      <c r="BZ104" s="85" t="s">
        <v>38</v>
      </c>
      <c r="CA104" s="86" t="s">
        <v>38</v>
      </c>
    </row>
    <row r="105" spans="1:79">
      <c r="A105" s="21" t="s">
        <v>34</v>
      </c>
      <c r="B105" s="82">
        <v>254459.39995799999</v>
      </c>
      <c r="C105" s="82">
        <v>4505693.0609900001</v>
      </c>
      <c r="D105" s="19">
        <v>0.23</v>
      </c>
      <c r="E105" s="19" t="s">
        <v>38</v>
      </c>
      <c r="F105" s="19" t="s">
        <v>38</v>
      </c>
      <c r="G105" s="19" t="s">
        <v>38</v>
      </c>
      <c r="H105" s="19" t="s">
        <v>38</v>
      </c>
      <c r="I105" s="19" t="s">
        <v>38</v>
      </c>
      <c r="J105" s="19" t="s">
        <v>38</v>
      </c>
      <c r="K105" s="19" t="s">
        <v>38</v>
      </c>
      <c r="L105" s="19" t="s">
        <v>38</v>
      </c>
      <c r="M105" s="19" t="s">
        <v>38</v>
      </c>
      <c r="N105" s="23" t="s">
        <v>38</v>
      </c>
      <c r="O105" s="23" t="s">
        <v>38</v>
      </c>
      <c r="P105" s="23" t="s">
        <v>38</v>
      </c>
      <c r="Q105" s="23" t="s">
        <v>38</v>
      </c>
      <c r="R105" s="23" t="s">
        <v>38</v>
      </c>
      <c r="S105" s="23" t="s">
        <v>38</v>
      </c>
      <c r="T105" s="23" t="s">
        <v>38</v>
      </c>
      <c r="U105" s="23" t="s">
        <v>38</v>
      </c>
      <c r="V105" s="23" t="s">
        <v>38</v>
      </c>
      <c r="W105" s="23" t="s">
        <v>38</v>
      </c>
      <c r="X105" s="23" t="s">
        <v>38</v>
      </c>
      <c r="Y105" s="23" t="s">
        <v>38</v>
      </c>
      <c r="Z105" s="23" t="s">
        <v>38</v>
      </c>
      <c r="AA105" s="23" t="s">
        <v>38</v>
      </c>
      <c r="AB105" s="23" t="s">
        <v>38</v>
      </c>
      <c r="AC105" s="23" t="s">
        <v>38</v>
      </c>
      <c r="AD105" s="23" t="s">
        <v>38</v>
      </c>
      <c r="AE105" s="23" t="s">
        <v>38</v>
      </c>
      <c r="AF105" s="23" t="s">
        <v>38</v>
      </c>
      <c r="AG105" s="23" t="s">
        <v>38</v>
      </c>
      <c r="AH105" s="23" t="s">
        <v>38</v>
      </c>
      <c r="AI105" s="23" t="s">
        <v>38</v>
      </c>
      <c r="AJ105" s="23" t="s">
        <v>38</v>
      </c>
      <c r="AK105" s="23" t="s">
        <v>38</v>
      </c>
      <c r="AL105" s="23" t="s">
        <v>38</v>
      </c>
      <c r="AM105" s="23" t="s">
        <v>38</v>
      </c>
      <c r="AN105" s="23" t="s">
        <v>38</v>
      </c>
      <c r="AO105" s="23" t="s">
        <v>38</v>
      </c>
      <c r="AP105" s="23" t="s">
        <v>38</v>
      </c>
      <c r="AQ105" s="23" t="s">
        <v>38</v>
      </c>
      <c r="AR105" s="23" t="s">
        <v>38</v>
      </c>
      <c r="AS105" s="23" t="s">
        <v>38</v>
      </c>
      <c r="AT105" s="23" t="s">
        <v>38</v>
      </c>
      <c r="AU105" s="23" t="s">
        <v>38</v>
      </c>
      <c r="AV105" s="23" t="s">
        <v>38</v>
      </c>
      <c r="AW105" s="23" t="s">
        <v>38</v>
      </c>
      <c r="AX105" s="23" t="s">
        <v>38</v>
      </c>
      <c r="AY105" s="23" t="s">
        <v>38</v>
      </c>
      <c r="AZ105" s="23" t="s">
        <v>38</v>
      </c>
      <c r="BA105" s="23" t="s">
        <v>38</v>
      </c>
      <c r="BB105" s="23" t="s">
        <v>38</v>
      </c>
      <c r="BC105" s="23" t="s">
        <v>38</v>
      </c>
      <c r="BD105" s="23" t="s">
        <v>38</v>
      </c>
      <c r="BE105" s="23" t="s">
        <v>38</v>
      </c>
      <c r="BF105" s="23" t="s">
        <v>38</v>
      </c>
      <c r="BG105" s="23" t="s">
        <v>38</v>
      </c>
      <c r="BH105" s="23" t="s">
        <v>38</v>
      </c>
      <c r="BI105" s="23" t="s">
        <v>38</v>
      </c>
      <c r="BJ105" s="23" t="s">
        <v>38</v>
      </c>
      <c r="BK105" s="23" t="s">
        <v>38</v>
      </c>
      <c r="BL105" s="23" t="s">
        <v>38</v>
      </c>
      <c r="BM105" s="23" t="s">
        <v>38</v>
      </c>
      <c r="BN105" s="23" t="s">
        <v>38</v>
      </c>
      <c r="BO105" s="23" t="s">
        <v>38</v>
      </c>
      <c r="BP105" s="23" t="s">
        <v>38</v>
      </c>
      <c r="BQ105" s="23" t="s">
        <v>38</v>
      </c>
      <c r="BR105" s="23" t="s">
        <v>38</v>
      </c>
      <c r="BS105" s="23" t="s">
        <v>38</v>
      </c>
      <c r="BT105" s="23" t="s">
        <v>38</v>
      </c>
      <c r="BU105" s="23" t="s">
        <v>38</v>
      </c>
      <c r="BV105" s="23" t="s">
        <v>38</v>
      </c>
      <c r="BW105" s="23" t="s">
        <v>38</v>
      </c>
      <c r="BX105" s="23" t="s">
        <v>38</v>
      </c>
      <c r="BY105" s="85" t="s">
        <v>38</v>
      </c>
      <c r="BZ105" s="85" t="s">
        <v>38</v>
      </c>
      <c r="CA105" s="86" t="s">
        <v>38</v>
      </c>
    </row>
    <row r="106" spans="1:79">
      <c r="A106" s="21" t="s">
        <v>36</v>
      </c>
      <c r="B106" s="82">
        <v>254457.54797300001</v>
      </c>
      <c r="C106" s="82">
        <v>4505693.1189799998</v>
      </c>
      <c r="D106" s="19">
        <v>0.2185</v>
      </c>
      <c r="E106" s="19">
        <v>0.24149999999999999</v>
      </c>
      <c r="F106" s="19" t="s">
        <v>38</v>
      </c>
      <c r="G106" s="19">
        <v>0.2445</v>
      </c>
      <c r="H106" s="19">
        <v>0.23649999999999999</v>
      </c>
      <c r="I106" s="19">
        <v>0.1875</v>
      </c>
      <c r="J106" s="19">
        <v>0.191</v>
      </c>
      <c r="K106" s="19">
        <v>0.15050000000000002</v>
      </c>
      <c r="L106" s="19">
        <v>0.17949999999999999</v>
      </c>
      <c r="M106" s="19">
        <v>0.13600000000000001</v>
      </c>
      <c r="N106" s="16">
        <v>0.1855</v>
      </c>
      <c r="O106" s="16">
        <v>0.156</v>
      </c>
      <c r="P106" s="23" t="s">
        <v>38</v>
      </c>
      <c r="Q106" s="23" t="s">
        <v>38</v>
      </c>
      <c r="R106" s="23" t="s">
        <v>38</v>
      </c>
      <c r="S106" s="23" t="s">
        <v>38</v>
      </c>
      <c r="T106" s="51" t="s">
        <v>38</v>
      </c>
      <c r="U106" s="51">
        <v>0.245</v>
      </c>
      <c r="V106" s="51">
        <v>0.26700000000000002</v>
      </c>
      <c r="W106" s="51">
        <v>0.26500000000000001</v>
      </c>
      <c r="X106" s="51">
        <v>0.26200000000000001</v>
      </c>
      <c r="Y106" s="51">
        <v>0.23200000000000001</v>
      </c>
      <c r="Z106" s="51">
        <v>0.26200000000000001</v>
      </c>
      <c r="AA106" s="51">
        <v>0.251</v>
      </c>
      <c r="AB106" s="51">
        <v>0.29299999999999998</v>
      </c>
      <c r="AC106" s="51">
        <v>0.253</v>
      </c>
      <c r="AD106" s="51">
        <v>0.252</v>
      </c>
      <c r="AE106" s="51" t="s">
        <v>38</v>
      </c>
      <c r="AF106" s="51">
        <v>0.215</v>
      </c>
      <c r="AG106" s="51">
        <v>0.2</v>
      </c>
      <c r="AH106" s="51">
        <v>0.187</v>
      </c>
      <c r="AI106" s="51">
        <v>0.186</v>
      </c>
      <c r="AJ106" s="23" t="s">
        <v>38</v>
      </c>
      <c r="AK106" s="51">
        <v>0.18099999999999999</v>
      </c>
      <c r="AL106" s="51">
        <v>0.316</v>
      </c>
      <c r="AM106" s="51" t="s">
        <v>38</v>
      </c>
      <c r="AN106" s="51">
        <v>0.221</v>
      </c>
      <c r="AO106" s="51" t="s">
        <v>38</v>
      </c>
      <c r="AP106" s="51" t="s">
        <v>38</v>
      </c>
      <c r="AQ106" s="51">
        <v>0.20200000000000001</v>
      </c>
      <c r="AR106" s="51" t="s">
        <v>38</v>
      </c>
      <c r="AS106" s="51">
        <v>0.186</v>
      </c>
      <c r="AT106" s="51" t="s">
        <v>38</v>
      </c>
      <c r="AU106" s="51">
        <v>0.16700000000000001</v>
      </c>
      <c r="AV106" s="23" t="s">
        <v>38</v>
      </c>
      <c r="AW106" s="23" t="s">
        <v>38</v>
      </c>
      <c r="AX106" s="23" t="s">
        <v>38</v>
      </c>
      <c r="AY106" s="51">
        <v>0.23749999999999999</v>
      </c>
      <c r="AZ106" s="51">
        <v>0.21099999999999999</v>
      </c>
      <c r="BA106" s="51">
        <v>0.2215</v>
      </c>
      <c r="BB106" s="52">
        <v>0.16750000000000001</v>
      </c>
      <c r="BC106" s="51">
        <v>0.19600000000000001</v>
      </c>
      <c r="BD106" s="53">
        <v>0.2525</v>
      </c>
      <c r="BE106" s="23" t="s">
        <v>38</v>
      </c>
      <c r="BF106" s="53">
        <v>0.21249999999999999</v>
      </c>
      <c r="BG106" s="51">
        <v>0.247</v>
      </c>
      <c r="BH106" s="23" t="s">
        <v>38</v>
      </c>
      <c r="BI106" s="38">
        <v>0.24349999999999999</v>
      </c>
      <c r="BJ106" s="38">
        <v>0.23449999999999999</v>
      </c>
      <c r="BK106" s="38">
        <v>0.2165</v>
      </c>
      <c r="BL106" s="38">
        <v>0.21049999999999999</v>
      </c>
      <c r="BM106" s="38">
        <v>0.20799999999999999</v>
      </c>
      <c r="BN106" s="23" t="s">
        <v>38</v>
      </c>
      <c r="BO106" s="23" t="s">
        <v>38</v>
      </c>
      <c r="BP106" s="23" t="s">
        <v>38</v>
      </c>
      <c r="BQ106" s="23" t="s">
        <v>38</v>
      </c>
      <c r="BR106" s="23" t="s">
        <v>38</v>
      </c>
      <c r="BS106" s="23" t="s">
        <v>38</v>
      </c>
      <c r="BT106" s="23" t="s">
        <v>38</v>
      </c>
      <c r="BU106" s="23" t="s">
        <v>38</v>
      </c>
      <c r="BV106" s="23" t="s">
        <v>38</v>
      </c>
      <c r="BW106" s="23" t="s">
        <v>38</v>
      </c>
      <c r="BX106" s="23" t="s">
        <v>38</v>
      </c>
      <c r="BY106" s="85" t="s">
        <v>38</v>
      </c>
      <c r="BZ106" s="85" t="s">
        <v>38</v>
      </c>
      <c r="CA106" s="86" t="s">
        <v>38</v>
      </c>
    </row>
    <row r="107" spans="1:79">
      <c r="A107" s="21" t="s">
        <v>37</v>
      </c>
      <c r="B107" s="82">
        <v>254458.456752</v>
      </c>
      <c r="C107" s="82">
        <v>4505694.83213</v>
      </c>
      <c r="D107" s="19" t="s">
        <v>38</v>
      </c>
      <c r="E107" s="19" t="s">
        <v>38</v>
      </c>
      <c r="F107" s="19" t="s">
        <v>38</v>
      </c>
      <c r="G107" s="19">
        <v>0.17699999999999999</v>
      </c>
      <c r="H107" s="19">
        <v>0.17549999999999999</v>
      </c>
      <c r="I107" s="19">
        <v>0.121</v>
      </c>
      <c r="J107" s="19">
        <v>0.1</v>
      </c>
      <c r="K107" s="19">
        <v>8.8999999999999996E-2</v>
      </c>
      <c r="L107" s="19">
        <v>0.10700000000000001</v>
      </c>
      <c r="M107" s="19">
        <v>6.25E-2</v>
      </c>
      <c r="N107" s="16">
        <v>0.11849999999999999</v>
      </c>
      <c r="O107" s="16">
        <v>8.3999999999999991E-2</v>
      </c>
      <c r="P107" s="23" t="s">
        <v>38</v>
      </c>
      <c r="Q107" s="23" t="s">
        <v>38</v>
      </c>
      <c r="R107" s="23" t="s">
        <v>38</v>
      </c>
      <c r="S107" s="23" t="s">
        <v>38</v>
      </c>
      <c r="T107" s="51">
        <v>0.30399999999999999</v>
      </c>
      <c r="U107" s="51">
        <v>0.191</v>
      </c>
      <c r="V107" s="51">
        <v>0.20100000000000001</v>
      </c>
      <c r="W107" s="51">
        <v>0.2</v>
      </c>
      <c r="X107" s="51">
        <v>0.193</v>
      </c>
      <c r="Y107" s="51">
        <v>0.17299999999999999</v>
      </c>
      <c r="Z107" s="51">
        <v>0.19</v>
      </c>
      <c r="AA107" s="51">
        <v>0.191</v>
      </c>
      <c r="AB107" s="51">
        <v>0.20699999999999999</v>
      </c>
      <c r="AC107" s="51">
        <v>0.191</v>
      </c>
      <c r="AD107" s="51">
        <v>0.17100000000000001</v>
      </c>
      <c r="AE107" s="51" t="s">
        <v>38</v>
      </c>
      <c r="AF107" s="51">
        <v>0.125</v>
      </c>
      <c r="AG107" s="51">
        <v>0.14299999999999999</v>
      </c>
      <c r="AH107" s="51">
        <v>0.114</v>
      </c>
      <c r="AI107" s="51">
        <v>0.13100000000000001</v>
      </c>
      <c r="AJ107" s="23" t="s">
        <v>38</v>
      </c>
      <c r="AK107" s="51">
        <v>0.115</v>
      </c>
      <c r="AL107" s="51">
        <v>0.17</v>
      </c>
      <c r="AM107" s="51">
        <v>0.27200000000000002</v>
      </c>
      <c r="AN107" s="51">
        <v>0.17699999999999999</v>
      </c>
      <c r="AO107" s="51" t="s">
        <v>38</v>
      </c>
      <c r="AP107" s="51" t="s">
        <v>38</v>
      </c>
      <c r="AQ107" s="51">
        <v>0.14799999999999999</v>
      </c>
      <c r="AR107" s="51" t="s">
        <v>38</v>
      </c>
      <c r="AS107" s="51">
        <v>0.114</v>
      </c>
      <c r="AT107" s="51" t="s">
        <v>38</v>
      </c>
      <c r="AU107" s="51">
        <v>9.5000000000000001E-2</v>
      </c>
      <c r="AV107" s="23" t="s">
        <v>38</v>
      </c>
      <c r="AW107" s="23" t="s">
        <v>38</v>
      </c>
      <c r="AX107" s="23" t="s">
        <v>38</v>
      </c>
      <c r="AY107" s="51">
        <v>0.13900000000000001</v>
      </c>
      <c r="AZ107" s="51">
        <v>0.127</v>
      </c>
      <c r="BA107" s="51">
        <v>0.13250000000000001</v>
      </c>
      <c r="BB107" s="52">
        <v>9.6500000000000002E-2</v>
      </c>
      <c r="BC107" s="23" t="s">
        <v>38</v>
      </c>
      <c r="BD107" s="23" t="s">
        <v>38</v>
      </c>
      <c r="BE107" s="23" t="s">
        <v>38</v>
      </c>
      <c r="BF107" s="53">
        <v>0.11649999999999999</v>
      </c>
      <c r="BG107" s="51">
        <v>0.183</v>
      </c>
      <c r="BH107" s="23" t="s">
        <v>38</v>
      </c>
      <c r="BI107" s="38">
        <v>0.17099999999999999</v>
      </c>
      <c r="BJ107" s="38">
        <v>0.17899999999999999</v>
      </c>
      <c r="BK107" s="38">
        <v>0.16949999999999998</v>
      </c>
      <c r="BL107" s="38">
        <v>0.17749999999999999</v>
      </c>
      <c r="BM107" s="38">
        <v>0.13650000000000001</v>
      </c>
      <c r="BN107" s="23" t="s">
        <v>38</v>
      </c>
      <c r="BO107" s="23" t="s">
        <v>38</v>
      </c>
      <c r="BP107" s="23" t="s">
        <v>38</v>
      </c>
      <c r="BQ107" s="23" t="s">
        <v>38</v>
      </c>
      <c r="BR107" s="23" t="s">
        <v>38</v>
      </c>
      <c r="BS107" s="23" t="s">
        <v>38</v>
      </c>
      <c r="BT107" s="23" t="s">
        <v>38</v>
      </c>
      <c r="BU107" s="23" t="s">
        <v>38</v>
      </c>
      <c r="BV107" s="23" t="s">
        <v>38</v>
      </c>
      <c r="BW107" s="23" t="s">
        <v>38</v>
      </c>
      <c r="BX107" s="23" t="s">
        <v>38</v>
      </c>
      <c r="BY107" s="85">
        <f>(0.21+0.209)/2</f>
        <v>0.20949999999999999</v>
      </c>
      <c r="BZ107" s="85">
        <f>(0.278+0.279)/2</f>
        <v>0.27850000000000003</v>
      </c>
      <c r="CA107" s="86">
        <v>0.2165</v>
      </c>
    </row>
    <row r="108" spans="1:79">
      <c r="A108" s="7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P108" s="22"/>
      <c r="Q108" s="22"/>
      <c r="BY108" s="69"/>
      <c r="BZ108" s="69"/>
      <c r="CA108" s="69"/>
    </row>
    <row r="109" spans="1:79">
      <c r="P109" s="22"/>
      <c r="Q109" s="22"/>
    </row>
    <row r="110" spans="1:79">
      <c r="P110" s="22"/>
      <c r="Q110" s="22"/>
    </row>
    <row r="111" spans="1:79">
      <c r="P111" s="22"/>
      <c r="Q111" s="22"/>
    </row>
    <row r="112" spans="1:79">
      <c r="P112" s="22"/>
      <c r="Q112" s="22"/>
    </row>
    <row r="113" spans="16:17">
      <c r="P113" s="22"/>
      <c r="Q113" s="22"/>
    </row>
    <row r="114" spans="16:17">
      <c r="Q114" s="22"/>
    </row>
    <row r="115" spans="16:17">
      <c r="Q115" s="22"/>
    </row>
  </sheetData>
  <phoneticPr fontId="27" type="noConversion"/>
  <pageMargins left="0.7" right="0.7" top="0.75" bottom="0.75" header="0.3" footer="0.3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A115"/>
  <sheetViews>
    <sheetView workbookViewId="0">
      <selection activeCell="BY108" sqref="BY108:CA219"/>
    </sheetView>
  </sheetViews>
  <sheetFormatPr defaultColWidth="8.85546875" defaultRowHeight="15.75"/>
  <cols>
    <col min="1" max="1" width="5.140625" style="15" bestFit="1" customWidth="1"/>
    <col min="2" max="3" width="19.7109375" style="82" customWidth="1"/>
    <col min="4" max="4" width="10.42578125" style="15" customWidth="1"/>
    <col min="5" max="5" width="11.42578125" style="15" customWidth="1"/>
    <col min="6" max="7" width="10.42578125" style="15" customWidth="1"/>
    <col min="8" max="8" width="9.85546875" style="15" customWidth="1"/>
    <col min="9" max="9" width="10" style="15" customWidth="1"/>
    <col min="10" max="10" width="10.42578125" style="15" customWidth="1"/>
    <col min="11" max="11" width="11.28515625" style="15" customWidth="1"/>
    <col min="12" max="13" width="10.42578125" style="15" customWidth="1"/>
    <col min="14" max="16" width="8.85546875" style="16"/>
    <col min="17" max="17" width="10" style="16" customWidth="1"/>
    <col min="18" max="18" width="13" style="16" customWidth="1"/>
    <col min="19" max="19" width="11.42578125" style="16" customWidth="1"/>
    <col min="20" max="20" width="13" style="23" customWidth="1"/>
    <col min="21" max="21" width="10.42578125" style="24" customWidth="1"/>
    <col min="22" max="22" width="12.28515625" style="23" customWidth="1"/>
    <col min="23" max="23" width="13.7109375" style="23" customWidth="1"/>
    <col min="24" max="26" width="11.140625" style="23" customWidth="1"/>
    <col min="27" max="27" width="10.42578125" style="23" customWidth="1"/>
    <col min="28" max="28" width="10.7109375" style="23" customWidth="1"/>
    <col min="29" max="29" width="11.28515625" style="24" customWidth="1"/>
    <col min="30" max="30" width="11.140625" style="16" customWidth="1"/>
    <col min="31" max="31" width="10.7109375" style="16" customWidth="1"/>
    <col min="32" max="32" width="10.85546875" style="16" customWidth="1"/>
    <col min="33" max="33" width="11.42578125" style="16" customWidth="1"/>
    <col min="34" max="34" width="12.28515625" style="16" customWidth="1"/>
    <col min="35" max="35" width="11" style="16" customWidth="1"/>
    <col min="36" max="36" width="10.28515625" style="16" customWidth="1"/>
    <col min="37" max="37" width="11.42578125" style="16" customWidth="1"/>
    <col min="38" max="38" width="11.28515625" style="16" customWidth="1"/>
    <col min="39" max="39" width="12.28515625" style="16" customWidth="1"/>
    <col min="40" max="76" width="10.42578125" style="15" customWidth="1"/>
    <col min="77" max="77" width="10.42578125" style="76" customWidth="1"/>
    <col min="78" max="78" width="11.42578125" style="76" customWidth="1"/>
    <col min="79" max="79" width="10.42578125" style="76" customWidth="1"/>
    <col min="80" max="16384" width="8.85546875" style="15"/>
  </cols>
  <sheetData>
    <row r="1" spans="1:79">
      <c r="A1" s="60" t="s">
        <v>57</v>
      </c>
      <c r="B1" s="82" t="s">
        <v>54</v>
      </c>
      <c r="C1" s="82" t="s">
        <v>55</v>
      </c>
      <c r="D1" s="19" t="s">
        <v>117</v>
      </c>
      <c r="E1" s="19" t="s">
        <v>116</v>
      </c>
      <c r="F1" s="19" t="s">
        <v>115</v>
      </c>
      <c r="G1" s="19" t="s">
        <v>114</v>
      </c>
      <c r="H1" s="19" t="s">
        <v>113</v>
      </c>
      <c r="I1" s="19" t="s">
        <v>112</v>
      </c>
      <c r="J1" s="19" t="s">
        <v>111</v>
      </c>
      <c r="K1" s="19" t="s">
        <v>110</v>
      </c>
      <c r="L1" s="19" t="s">
        <v>109</v>
      </c>
      <c r="M1" s="19" t="s">
        <v>108</v>
      </c>
      <c r="N1" s="16" t="s">
        <v>107</v>
      </c>
      <c r="O1" s="16" t="s">
        <v>106</v>
      </c>
      <c r="P1" s="16" t="s">
        <v>105</v>
      </c>
      <c r="Q1" s="16" t="s">
        <v>104</v>
      </c>
      <c r="R1" s="21" t="s">
        <v>103</v>
      </c>
      <c r="S1" s="23" t="s">
        <v>102</v>
      </c>
      <c r="T1" s="26" t="s">
        <v>82</v>
      </c>
      <c r="U1" s="26" t="s">
        <v>83</v>
      </c>
      <c r="V1" s="26" t="s">
        <v>84</v>
      </c>
      <c r="W1" s="26" t="s">
        <v>85</v>
      </c>
      <c r="X1" s="27" t="s">
        <v>86</v>
      </c>
      <c r="Y1" s="27" t="s">
        <v>87</v>
      </c>
      <c r="Z1" s="27" t="s">
        <v>88</v>
      </c>
      <c r="AA1" s="27" t="s">
        <v>89</v>
      </c>
      <c r="AB1" s="27" t="s">
        <v>90</v>
      </c>
      <c r="AC1" s="27" t="s">
        <v>91</v>
      </c>
      <c r="AD1" s="28" t="s">
        <v>92</v>
      </c>
      <c r="AE1" s="28" t="s">
        <v>93</v>
      </c>
      <c r="AF1" s="28" t="s">
        <v>94</v>
      </c>
      <c r="AG1" s="28" t="s">
        <v>95</v>
      </c>
      <c r="AH1" s="28" t="s">
        <v>96</v>
      </c>
      <c r="AI1" s="28" t="s">
        <v>97</v>
      </c>
      <c r="AJ1" s="28" t="s">
        <v>98</v>
      </c>
      <c r="AK1" s="28" t="s">
        <v>99</v>
      </c>
      <c r="AL1" s="28" t="s">
        <v>100</v>
      </c>
      <c r="AM1" s="28" t="s">
        <v>101</v>
      </c>
      <c r="AN1" s="31" t="s">
        <v>118</v>
      </c>
      <c r="AO1" s="31" t="s">
        <v>119</v>
      </c>
      <c r="AP1" s="31" t="s">
        <v>120</v>
      </c>
      <c r="AQ1" s="31" t="s">
        <v>121</v>
      </c>
      <c r="AR1" s="31" t="s">
        <v>122</v>
      </c>
      <c r="AS1" s="31" t="s">
        <v>123</v>
      </c>
      <c r="AT1" s="31" t="s">
        <v>124</v>
      </c>
      <c r="AU1" s="31" t="s">
        <v>125</v>
      </c>
      <c r="AV1" s="31" t="s">
        <v>126</v>
      </c>
      <c r="AW1" s="31" t="s">
        <v>127</v>
      </c>
      <c r="AX1" s="31" t="s">
        <v>128</v>
      </c>
      <c r="AY1" s="31" t="s">
        <v>129</v>
      </c>
      <c r="AZ1" s="31" t="s">
        <v>130</v>
      </c>
      <c r="BA1" s="31" t="s">
        <v>131</v>
      </c>
      <c r="BB1" s="32" t="s">
        <v>132</v>
      </c>
      <c r="BC1" s="32" t="s">
        <v>133</v>
      </c>
      <c r="BD1" s="32" t="s">
        <v>134</v>
      </c>
      <c r="BE1" s="32" t="s">
        <v>135</v>
      </c>
      <c r="BF1" s="32" t="s">
        <v>136</v>
      </c>
      <c r="BG1" s="31" t="s">
        <v>81</v>
      </c>
      <c r="BH1" s="31" t="s">
        <v>137</v>
      </c>
      <c r="BI1" s="33" t="s">
        <v>80</v>
      </c>
      <c r="BJ1" s="31" t="s">
        <v>138</v>
      </c>
      <c r="BK1" s="31" t="s">
        <v>139</v>
      </c>
      <c r="BL1" s="31" t="s">
        <v>140</v>
      </c>
      <c r="BM1" s="31" t="s">
        <v>141</v>
      </c>
      <c r="BN1" s="31" t="s">
        <v>142</v>
      </c>
      <c r="BO1" s="31" t="s">
        <v>143</v>
      </c>
      <c r="BP1" s="31" t="s">
        <v>144</v>
      </c>
      <c r="BQ1" s="33" t="s">
        <v>145</v>
      </c>
      <c r="BR1" s="34" t="s">
        <v>146</v>
      </c>
      <c r="BS1" s="34" t="s">
        <v>147</v>
      </c>
      <c r="BT1" s="34" t="s">
        <v>148</v>
      </c>
      <c r="BU1" s="35" t="s">
        <v>149</v>
      </c>
      <c r="BV1" s="34" t="s">
        <v>150</v>
      </c>
      <c r="BW1" s="35" t="s">
        <v>151</v>
      </c>
      <c r="BX1" s="35" t="s">
        <v>152</v>
      </c>
      <c r="BY1" s="69" t="s">
        <v>153</v>
      </c>
      <c r="BZ1" s="69" t="s">
        <v>154</v>
      </c>
      <c r="CA1" s="69" t="s">
        <v>155</v>
      </c>
    </row>
    <row r="2" spans="1:79">
      <c r="A2" s="60" t="s">
        <v>0</v>
      </c>
      <c r="B2" s="82">
        <v>254435.22415699999</v>
      </c>
      <c r="C2" s="82">
        <v>4505558.7383700004</v>
      </c>
      <c r="D2" s="19" t="s">
        <v>38</v>
      </c>
      <c r="E2" s="19">
        <v>0.22850000000000001</v>
      </c>
      <c r="F2" s="19">
        <v>0.23199999999999998</v>
      </c>
      <c r="G2" s="19">
        <v>0.249</v>
      </c>
      <c r="H2" s="19">
        <v>0.22500000000000001</v>
      </c>
      <c r="I2" s="19">
        <v>0.2175</v>
      </c>
      <c r="J2" s="19">
        <v>0.20749999999999999</v>
      </c>
      <c r="K2" s="19">
        <v>0.151</v>
      </c>
      <c r="L2" s="19">
        <v>0.184</v>
      </c>
      <c r="M2" s="19">
        <v>0.14150000000000001</v>
      </c>
      <c r="N2" s="16">
        <v>0.16234999999999999</v>
      </c>
      <c r="O2" s="16">
        <v>0.14450000000000002</v>
      </c>
      <c r="P2" s="16">
        <v>0.1225</v>
      </c>
      <c r="Q2" s="16">
        <v>0.20850000000000002</v>
      </c>
      <c r="R2" s="16">
        <v>0.21300000000000002</v>
      </c>
      <c r="S2" s="16">
        <v>0.218</v>
      </c>
      <c r="T2" s="16">
        <v>0.27600000000000002</v>
      </c>
      <c r="U2" s="16">
        <v>0.27500000000000002</v>
      </c>
      <c r="V2" s="16">
        <v>0.27200000000000002</v>
      </c>
      <c r="W2" s="16">
        <v>0.28100000000000003</v>
      </c>
      <c r="X2" s="23">
        <v>0.26500000000000001</v>
      </c>
      <c r="Y2" s="24">
        <v>0.26800000000000002</v>
      </c>
      <c r="Z2" s="23">
        <v>0.255</v>
      </c>
      <c r="AA2" s="23">
        <v>0.26400000000000001</v>
      </c>
      <c r="AB2" s="23">
        <v>0.27700000000000002</v>
      </c>
      <c r="AC2" s="24">
        <v>0.25800000000000001</v>
      </c>
      <c r="AD2" s="16">
        <v>0.318</v>
      </c>
      <c r="AE2" s="16">
        <v>0.254</v>
      </c>
      <c r="AF2" s="16">
        <v>0.19600000000000001</v>
      </c>
      <c r="AG2" s="16">
        <v>0.19500000000000001</v>
      </c>
      <c r="AH2" s="16">
        <v>0.14399999999999999</v>
      </c>
      <c r="AI2" s="16">
        <v>0.159</v>
      </c>
      <c r="AJ2" s="16">
        <v>0.19500000000000001</v>
      </c>
      <c r="AK2" s="16">
        <v>0.161</v>
      </c>
      <c r="AL2" s="16">
        <v>0.34799999999999998</v>
      </c>
      <c r="AM2" s="16">
        <v>0.27700000000000002</v>
      </c>
      <c r="AN2" s="40">
        <v>0.25</v>
      </c>
      <c r="AO2" s="40">
        <v>0.185</v>
      </c>
      <c r="AP2" s="40">
        <v>0.127</v>
      </c>
      <c r="AQ2" s="40">
        <v>0.23699999999999999</v>
      </c>
      <c r="AR2" s="40">
        <v>0.219</v>
      </c>
      <c r="AS2" s="40">
        <v>0.22900000000000001</v>
      </c>
      <c r="AT2" s="40">
        <v>0.219</v>
      </c>
      <c r="AU2" s="40">
        <v>0.20200000000000001</v>
      </c>
      <c r="AV2" s="40">
        <v>0.17399999999999999</v>
      </c>
      <c r="AW2" s="40">
        <v>0.158</v>
      </c>
      <c r="AX2" s="40">
        <v>0.108</v>
      </c>
      <c r="AY2" s="40">
        <v>0.159</v>
      </c>
      <c r="AZ2" s="40">
        <v>0.15</v>
      </c>
      <c r="BA2" s="40">
        <v>0.187</v>
      </c>
      <c r="BB2" s="19" t="s">
        <v>38</v>
      </c>
      <c r="BC2" s="40">
        <v>0.17</v>
      </c>
      <c r="BD2" s="19" t="s">
        <v>38</v>
      </c>
      <c r="BE2" s="19" t="s">
        <v>38</v>
      </c>
      <c r="BF2" s="19" t="s">
        <v>38</v>
      </c>
      <c r="BG2" s="40">
        <v>0.25</v>
      </c>
      <c r="BH2" s="38">
        <v>0.2</v>
      </c>
      <c r="BI2" s="38">
        <v>0.22500000000000001</v>
      </c>
      <c r="BJ2" s="38">
        <v>0.23899999999999999</v>
      </c>
      <c r="BK2" s="38">
        <v>0.1915</v>
      </c>
      <c r="BL2" s="38">
        <v>0.20650000000000002</v>
      </c>
      <c r="BM2" s="38">
        <v>0.2445</v>
      </c>
      <c r="BN2" s="19" t="s">
        <v>38</v>
      </c>
      <c r="BO2" s="40">
        <v>0.23399999999999999</v>
      </c>
      <c r="BP2" s="38">
        <v>0.23149999999999998</v>
      </c>
      <c r="BQ2" s="38">
        <v>0.21249999999999999</v>
      </c>
      <c r="BR2" s="41">
        <v>0.20900000000000002</v>
      </c>
      <c r="BS2" s="41" t="s">
        <v>38</v>
      </c>
      <c r="BT2" s="41">
        <v>0.22650000000000001</v>
      </c>
      <c r="BU2" s="42" t="s">
        <v>38</v>
      </c>
      <c r="BV2" s="41">
        <v>0.20150000000000001</v>
      </c>
      <c r="BW2" s="42">
        <v>0.2</v>
      </c>
      <c r="BX2" s="42">
        <v>0.22750000000000001</v>
      </c>
      <c r="BY2" s="85">
        <f>(0.226+0.294)/2</f>
        <v>0.26</v>
      </c>
      <c r="BZ2" s="85">
        <f>(0.262+0.261)/2</f>
        <v>0.26150000000000001</v>
      </c>
      <c r="CA2" s="86">
        <v>0.29949999999999999</v>
      </c>
    </row>
    <row r="3" spans="1:79">
      <c r="A3" s="60" t="s">
        <v>1</v>
      </c>
      <c r="B3" s="82">
        <v>254434.193532</v>
      </c>
      <c r="C3" s="82">
        <v>4505555.6557400003</v>
      </c>
      <c r="D3" s="19" t="s">
        <v>38</v>
      </c>
      <c r="E3" s="19">
        <v>0.16</v>
      </c>
      <c r="F3" s="19">
        <v>0.1565</v>
      </c>
      <c r="G3" s="19">
        <v>0.15</v>
      </c>
      <c r="H3" s="19">
        <v>0.17849999999999999</v>
      </c>
      <c r="I3" s="19">
        <v>0.13100000000000001</v>
      </c>
      <c r="J3" s="19">
        <v>0.115</v>
      </c>
      <c r="K3" s="19">
        <v>8.5999999999999993E-2</v>
      </c>
      <c r="L3" s="19">
        <v>9.1999999999999998E-2</v>
      </c>
      <c r="M3" s="19">
        <v>7.85E-2</v>
      </c>
      <c r="N3" s="16">
        <v>9.7500000000000003E-2</v>
      </c>
      <c r="O3" s="16">
        <v>8.0999999999999989E-2</v>
      </c>
      <c r="P3" s="16">
        <v>0.109</v>
      </c>
      <c r="Q3" s="16">
        <v>0.13650000000000001</v>
      </c>
      <c r="R3" s="16" t="s">
        <v>38</v>
      </c>
      <c r="S3" s="16">
        <v>0.16</v>
      </c>
      <c r="T3" s="16">
        <v>0.16</v>
      </c>
      <c r="U3" s="16">
        <v>0.159</v>
      </c>
      <c r="V3" s="16">
        <v>0.159</v>
      </c>
      <c r="W3" s="16">
        <v>0.152</v>
      </c>
      <c r="X3" s="23">
        <v>0.14699999999999999</v>
      </c>
      <c r="Y3" s="24">
        <v>0.129</v>
      </c>
      <c r="Z3" s="23">
        <v>0.16300000000000001</v>
      </c>
      <c r="AA3" s="23">
        <v>0.161</v>
      </c>
      <c r="AB3" s="23">
        <v>0.17</v>
      </c>
      <c r="AC3" s="24">
        <v>0.16200000000000001</v>
      </c>
      <c r="AD3" s="16">
        <v>0.17199999999999999</v>
      </c>
      <c r="AE3" s="16">
        <v>0.17499999999999999</v>
      </c>
      <c r="AF3" s="16">
        <v>0.13800000000000001</v>
      </c>
      <c r="AG3" s="16">
        <v>0.12</v>
      </c>
      <c r="AH3" s="16">
        <v>0.161</v>
      </c>
      <c r="AI3" s="16">
        <v>0.16200000000000001</v>
      </c>
      <c r="AJ3" s="16">
        <v>0.127</v>
      </c>
      <c r="AK3" s="16">
        <v>8.8999999999999996E-2</v>
      </c>
      <c r="AL3" s="16">
        <v>0.189</v>
      </c>
      <c r="AM3" s="16">
        <v>0.219</v>
      </c>
      <c r="AN3" s="40">
        <v>0.129</v>
      </c>
      <c r="AO3" s="40">
        <v>0.105</v>
      </c>
      <c r="AP3" s="40">
        <v>0.123</v>
      </c>
      <c r="AQ3" s="40">
        <v>0.13200000000000001</v>
      </c>
      <c r="AR3" s="40">
        <v>0.107</v>
      </c>
      <c r="AS3" s="40">
        <v>0.121</v>
      </c>
      <c r="AT3" s="40">
        <v>0.123</v>
      </c>
      <c r="AU3" s="40">
        <v>0.121</v>
      </c>
      <c r="AV3" s="40">
        <v>0.106</v>
      </c>
      <c r="AW3" s="40">
        <v>0.112</v>
      </c>
      <c r="AX3" s="40">
        <v>0.09</v>
      </c>
      <c r="AY3" s="40">
        <v>0.11799999999999999</v>
      </c>
      <c r="AZ3" s="40">
        <v>0.11600000000000001</v>
      </c>
      <c r="BA3" s="40">
        <v>0.122</v>
      </c>
      <c r="BB3" s="19" t="s">
        <v>38</v>
      </c>
      <c r="BC3" s="40">
        <v>0.223</v>
      </c>
      <c r="BD3" s="19" t="s">
        <v>38</v>
      </c>
      <c r="BE3" s="19" t="s">
        <v>38</v>
      </c>
      <c r="BF3" s="19" t="s">
        <v>38</v>
      </c>
      <c r="BG3" s="40">
        <v>0.17899999999999999</v>
      </c>
      <c r="BH3" s="38">
        <v>0.13700000000000001</v>
      </c>
      <c r="BI3" s="38">
        <v>0.156</v>
      </c>
      <c r="BJ3" s="38">
        <v>0.151</v>
      </c>
      <c r="BK3" s="38">
        <v>0.153</v>
      </c>
      <c r="BL3" s="38">
        <v>0.16</v>
      </c>
      <c r="BM3" s="38">
        <v>0.154</v>
      </c>
      <c r="BN3" s="19" t="s">
        <v>38</v>
      </c>
      <c r="BO3" s="40">
        <v>0.14849999999999999</v>
      </c>
      <c r="BP3" s="38">
        <v>0.1555</v>
      </c>
      <c r="BQ3" s="38">
        <v>0.13400000000000001</v>
      </c>
      <c r="BR3" s="41">
        <v>0.14400000000000002</v>
      </c>
      <c r="BS3" s="41" t="s">
        <v>38</v>
      </c>
      <c r="BT3" s="41">
        <v>0.13950000000000001</v>
      </c>
      <c r="BU3" s="42" t="s">
        <v>38</v>
      </c>
      <c r="BV3" s="41">
        <v>0.16900000000000001</v>
      </c>
      <c r="BW3" s="42">
        <v>0.13150000000000001</v>
      </c>
      <c r="BX3" s="42">
        <v>0.11600000000000001</v>
      </c>
      <c r="BY3" s="85">
        <f>(0.217+0.216)/2</f>
        <v>0.2165</v>
      </c>
      <c r="BZ3" s="85">
        <f>(0.213+0.214)/2</f>
        <v>0.2135</v>
      </c>
      <c r="CA3" s="86">
        <v>0.27050000000000002</v>
      </c>
    </row>
    <row r="4" spans="1:79">
      <c r="A4" s="60" t="s">
        <v>2</v>
      </c>
      <c r="B4" s="82">
        <v>254437.047169</v>
      </c>
      <c r="C4" s="82">
        <v>4505550.4602800002</v>
      </c>
      <c r="D4" s="19" t="s">
        <v>38</v>
      </c>
      <c r="E4" s="19" t="s">
        <v>38</v>
      </c>
      <c r="F4" s="19" t="s">
        <v>38</v>
      </c>
      <c r="G4" s="19" t="s">
        <v>38</v>
      </c>
      <c r="H4" s="19">
        <v>0.1205</v>
      </c>
      <c r="I4" s="19" t="s">
        <v>38</v>
      </c>
      <c r="J4" s="19" t="s">
        <v>38</v>
      </c>
      <c r="K4" s="19" t="s">
        <v>38</v>
      </c>
      <c r="L4" s="19" t="s">
        <v>38</v>
      </c>
      <c r="M4" s="19" t="s">
        <v>38</v>
      </c>
      <c r="N4" s="23" t="s">
        <v>38</v>
      </c>
      <c r="O4" s="23" t="s">
        <v>38</v>
      </c>
      <c r="P4" s="23" t="s">
        <v>38</v>
      </c>
      <c r="Q4" s="23" t="s">
        <v>38</v>
      </c>
      <c r="R4" s="23" t="s">
        <v>38</v>
      </c>
      <c r="S4" s="16">
        <v>0.11699999999999999</v>
      </c>
      <c r="T4" s="19" t="s">
        <v>38</v>
      </c>
      <c r="U4" s="19" t="s">
        <v>38</v>
      </c>
      <c r="V4" s="19" t="s">
        <v>38</v>
      </c>
      <c r="W4" s="19" t="s">
        <v>38</v>
      </c>
      <c r="X4" s="19" t="s">
        <v>38</v>
      </c>
      <c r="Y4" s="19" t="s">
        <v>38</v>
      </c>
      <c r="Z4" s="19" t="s">
        <v>38</v>
      </c>
      <c r="AA4" s="19" t="s">
        <v>38</v>
      </c>
      <c r="AB4" s="19" t="s">
        <v>38</v>
      </c>
      <c r="AC4" s="19" t="s">
        <v>38</v>
      </c>
      <c r="AD4" s="19" t="s">
        <v>38</v>
      </c>
      <c r="AE4" s="19" t="s">
        <v>38</v>
      </c>
      <c r="AF4" s="19" t="s">
        <v>38</v>
      </c>
      <c r="AG4" s="19" t="s">
        <v>38</v>
      </c>
      <c r="AH4" s="19" t="s">
        <v>38</v>
      </c>
      <c r="AI4" s="19" t="s">
        <v>38</v>
      </c>
      <c r="AJ4" s="19" t="s">
        <v>38</v>
      </c>
      <c r="AK4" s="19" t="s">
        <v>38</v>
      </c>
      <c r="AL4" s="19" t="s">
        <v>38</v>
      </c>
      <c r="AM4" s="19" t="s">
        <v>38</v>
      </c>
      <c r="AN4" s="40" t="s">
        <v>38</v>
      </c>
      <c r="AO4" s="40" t="s">
        <v>38</v>
      </c>
      <c r="AP4" s="40" t="s">
        <v>38</v>
      </c>
      <c r="AQ4" s="40" t="s">
        <v>38</v>
      </c>
      <c r="AR4" s="40" t="s">
        <v>38</v>
      </c>
      <c r="AS4" s="40" t="s">
        <v>38</v>
      </c>
      <c r="AT4" s="40" t="s">
        <v>38</v>
      </c>
      <c r="AU4" s="40" t="s">
        <v>38</v>
      </c>
      <c r="AV4" s="40" t="s">
        <v>38</v>
      </c>
      <c r="AW4" s="40" t="s">
        <v>38</v>
      </c>
      <c r="AX4" s="40" t="s">
        <v>38</v>
      </c>
      <c r="AY4" s="40" t="s">
        <v>38</v>
      </c>
      <c r="AZ4" s="40" t="s">
        <v>38</v>
      </c>
      <c r="BA4" s="40" t="s">
        <v>38</v>
      </c>
      <c r="BB4" s="19" t="s">
        <v>38</v>
      </c>
      <c r="BC4" s="19" t="s">
        <v>38</v>
      </c>
      <c r="BD4" s="19" t="s">
        <v>38</v>
      </c>
      <c r="BE4" s="19" t="s">
        <v>38</v>
      </c>
      <c r="BF4" s="19" t="s">
        <v>38</v>
      </c>
      <c r="BG4" s="19" t="s">
        <v>38</v>
      </c>
      <c r="BH4" s="19" t="s">
        <v>38</v>
      </c>
      <c r="BI4" s="19" t="s">
        <v>38</v>
      </c>
      <c r="BJ4" s="19" t="s">
        <v>38</v>
      </c>
      <c r="BK4" s="19" t="s">
        <v>38</v>
      </c>
      <c r="BL4" s="19" t="s">
        <v>38</v>
      </c>
      <c r="BM4" s="19" t="s">
        <v>38</v>
      </c>
      <c r="BN4" s="19" t="s">
        <v>38</v>
      </c>
      <c r="BO4" s="19" t="s">
        <v>38</v>
      </c>
      <c r="BP4" s="19" t="s">
        <v>38</v>
      </c>
      <c r="BQ4" s="19" t="s">
        <v>38</v>
      </c>
      <c r="BR4" s="19" t="s">
        <v>38</v>
      </c>
      <c r="BS4" s="19" t="s">
        <v>38</v>
      </c>
      <c r="BT4" s="19" t="s">
        <v>38</v>
      </c>
      <c r="BU4" s="19" t="s">
        <v>38</v>
      </c>
      <c r="BV4" s="41">
        <v>0.1255</v>
      </c>
      <c r="BW4" s="42" t="s">
        <v>38</v>
      </c>
      <c r="BX4" s="42" t="s">
        <v>38</v>
      </c>
      <c r="BY4" s="85" t="s">
        <v>38</v>
      </c>
      <c r="BZ4" s="85" t="s">
        <v>38</v>
      </c>
      <c r="CA4" s="86" t="s">
        <v>38</v>
      </c>
    </row>
    <row r="5" spans="1:79">
      <c r="A5" s="60" t="s">
        <v>3</v>
      </c>
      <c r="B5" s="82">
        <v>254438.863595</v>
      </c>
      <c r="C5" s="82">
        <v>4505538.7464199997</v>
      </c>
      <c r="D5" s="19" t="s">
        <v>38</v>
      </c>
      <c r="E5" s="19">
        <v>0.187</v>
      </c>
      <c r="F5" s="19">
        <v>0.187</v>
      </c>
      <c r="G5" s="19">
        <v>0.17399999999999999</v>
      </c>
      <c r="H5" s="19">
        <v>0.17099999999999999</v>
      </c>
      <c r="I5" s="19">
        <v>0.14249999999999999</v>
      </c>
      <c r="J5" s="19">
        <v>0.14199999999999999</v>
      </c>
      <c r="K5" s="19">
        <v>0.126</v>
      </c>
      <c r="L5" s="19">
        <v>0.129</v>
      </c>
      <c r="M5" s="19">
        <v>0.11700000000000001</v>
      </c>
      <c r="N5" s="16">
        <v>0.1575</v>
      </c>
      <c r="O5" s="16">
        <v>0.128</v>
      </c>
      <c r="P5" s="16">
        <v>0.1265</v>
      </c>
      <c r="Q5" s="16">
        <v>0.14799999999999999</v>
      </c>
      <c r="R5" s="16" t="s">
        <v>38</v>
      </c>
      <c r="S5" s="16">
        <v>0.17499999999999999</v>
      </c>
      <c r="T5" s="16" t="s">
        <v>38</v>
      </c>
      <c r="U5" s="16">
        <v>0.19800000000000001</v>
      </c>
      <c r="V5" s="16">
        <v>0.19800000000000001</v>
      </c>
      <c r="W5" s="16">
        <v>0.20100000000000001</v>
      </c>
      <c r="X5" s="23">
        <v>0.182</v>
      </c>
      <c r="Y5" s="24">
        <v>0.16500000000000001</v>
      </c>
      <c r="Z5" s="23">
        <v>0.18</v>
      </c>
      <c r="AA5" s="23">
        <v>0.184</v>
      </c>
      <c r="AB5" s="23">
        <v>0.19</v>
      </c>
      <c r="AC5" s="24">
        <v>0.19</v>
      </c>
      <c r="AD5" s="16">
        <v>0.193</v>
      </c>
      <c r="AE5" s="16">
        <v>0.191</v>
      </c>
      <c r="AF5" s="16">
        <v>0.18</v>
      </c>
      <c r="AG5" s="16">
        <v>0.158</v>
      </c>
      <c r="AH5" s="16">
        <v>0.153</v>
      </c>
      <c r="AI5" s="16">
        <v>0.16400000000000001</v>
      </c>
      <c r="AJ5" s="16">
        <v>0.153</v>
      </c>
      <c r="AK5" s="16">
        <v>0.154</v>
      </c>
      <c r="AL5" s="16">
        <v>0.221</v>
      </c>
      <c r="AM5" s="16">
        <v>0.23100000000000001</v>
      </c>
      <c r="AN5" s="40">
        <v>0.184</v>
      </c>
      <c r="AO5" s="40">
        <v>0.13</v>
      </c>
      <c r="AP5" s="40" t="s">
        <v>38</v>
      </c>
      <c r="AQ5" s="40">
        <v>0.16600000000000001</v>
      </c>
      <c r="AR5" s="40">
        <v>0.153</v>
      </c>
      <c r="AS5" s="40">
        <v>0.156</v>
      </c>
      <c r="AT5" s="40">
        <v>0.14899999999999999</v>
      </c>
      <c r="AU5" s="40">
        <v>0.14899999999999999</v>
      </c>
      <c r="AV5" s="40">
        <v>0.15</v>
      </c>
      <c r="AW5" s="40">
        <v>0.14599999999999999</v>
      </c>
      <c r="AX5" s="40">
        <v>0.13400000000000001</v>
      </c>
      <c r="AY5" s="40">
        <v>0.14099999999999999</v>
      </c>
      <c r="AZ5" s="40">
        <v>0.151</v>
      </c>
      <c r="BA5" s="40">
        <v>0.14899999999999999</v>
      </c>
      <c r="BB5" s="19" t="s">
        <v>38</v>
      </c>
      <c r="BC5" s="40">
        <v>0.153</v>
      </c>
      <c r="BD5" s="19" t="s">
        <v>38</v>
      </c>
      <c r="BE5" s="19" t="s">
        <v>38</v>
      </c>
      <c r="BF5" s="19" t="s">
        <v>38</v>
      </c>
      <c r="BG5" s="40">
        <v>0.20300000000000001</v>
      </c>
      <c r="BH5" s="38">
        <v>0.16600000000000001</v>
      </c>
      <c r="BI5" s="38">
        <v>0.17699999999999999</v>
      </c>
      <c r="BJ5" s="38">
        <v>0.17849999999999999</v>
      </c>
      <c r="BK5" s="38">
        <v>0.154</v>
      </c>
      <c r="BL5" s="38">
        <v>0.16200000000000001</v>
      </c>
      <c r="BM5" s="38">
        <v>9.0999999999999998E-2</v>
      </c>
      <c r="BN5" s="19" t="s">
        <v>38</v>
      </c>
      <c r="BO5" s="40">
        <v>0.17549999999999999</v>
      </c>
      <c r="BP5" s="38">
        <v>0.1555</v>
      </c>
      <c r="BQ5" s="38">
        <v>0.15</v>
      </c>
      <c r="BR5" s="41">
        <v>0.14900000000000002</v>
      </c>
      <c r="BS5" s="41" t="s">
        <v>38</v>
      </c>
      <c r="BT5" s="41">
        <v>0.14699999999999999</v>
      </c>
      <c r="BU5" s="42">
        <v>0.14050000000000001</v>
      </c>
      <c r="BV5" s="41">
        <v>0.158</v>
      </c>
      <c r="BW5" s="42">
        <v>0.1515</v>
      </c>
      <c r="BX5" s="42">
        <v>0.1555</v>
      </c>
      <c r="BY5" s="85">
        <f>(0.247+0.251)/2</f>
        <v>0.249</v>
      </c>
      <c r="BZ5" s="85">
        <f>(0.225+0.229)/2</f>
        <v>0.22700000000000001</v>
      </c>
      <c r="CA5" s="86">
        <v>0.30299999999999999</v>
      </c>
    </row>
    <row r="6" spans="1:79">
      <c r="A6" s="60" t="s">
        <v>4</v>
      </c>
      <c r="B6" s="82">
        <v>254443.36339700001</v>
      </c>
      <c r="C6" s="82">
        <v>4505517.0831000004</v>
      </c>
      <c r="D6" s="19" t="s">
        <v>38</v>
      </c>
      <c r="E6" s="19" t="s">
        <v>38</v>
      </c>
      <c r="F6" s="19" t="s">
        <v>38</v>
      </c>
      <c r="G6" s="19" t="s">
        <v>38</v>
      </c>
      <c r="H6" s="19" t="s">
        <v>38</v>
      </c>
      <c r="I6" s="19" t="s">
        <v>38</v>
      </c>
      <c r="J6" s="19" t="s">
        <v>38</v>
      </c>
      <c r="K6" s="19" t="s">
        <v>38</v>
      </c>
      <c r="L6" s="19" t="s">
        <v>38</v>
      </c>
      <c r="M6" s="19" t="s">
        <v>38</v>
      </c>
      <c r="N6" s="23" t="s">
        <v>38</v>
      </c>
      <c r="O6" s="23" t="s">
        <v>38</v>
      </c>
      <c r="P6" s="23" t="s">
        <v>38</v>
      </c>
      <c r="Q6" s="23" t="s">
        <v>38</v>
      </c>
      <c r="R6" s="23" t="s">
        <v>38</v>
      </c>
      <c r="S6" s="23" t="s">
        <v>38</v>
      </c>
      <c r="T6" s="19" t="s">
        <v>38</v>
      </c>
      <c r="U6" s="19" t="s">
        <v>38</v>
      </c>
      <c r="V6" s="19" t="s">
        <v>38</v>
      </c>
      <c r="W6" s="19" t="s">
        <v>38</v>
      </c>
      <c r="X6" s="19" t="s">
        <v>38</v>
      </c>
      <c r="Y6" s="19" t="s">
        <v>38</v>
      </c>
      <c r="Z6" s="19" t="s">
        <v>38</v>
      </c>
      <c r="AA6" s="19" t="s">
        <v>38</v>
      </c>
      <c r="AB6" s="19" t="s">
        <v>38</v>
      </c>
      <c r="AC6" s="19" t="s">
        <v>38</v>
      </c>
      <c r="AD6" s="19" t="s">
        <v>38</v>
      </c>
      <c r="AE6" s="19" t="s">
        <v>38</v>
      </c>
      <c r="AF6" s="19" t="s">
        <v>38</v>
      </c>
      <c r="AG6" s="19" t="s">
        <v>38</v>
      </c>
      <c r="AH6" s="19" t="s">
        <v>38</v>
      </c>
      <c r="AI6" s="19" t="s">
        <v>38</v>
      </c>
      <c r="AJ6" s="19" t="s">
        <v>38</v>
      </c>
      <c r="AK6" s="19" t="s">
        <v>38</v>
      </c>
      <c r="AL6" s="19" t="s">
        <v>38</v>
      </c>
      <c r="AM6" s="19" t="s">
        <v>38</v>
      </c>
      <c r="AN6" s="19" t="s">
        <v>38</v>
      </c>
      <c r="AO6" s="19" t="s">
        <v>38</v>
      </c>
      <c r="AP6" s="19" t="s">
        <v>38</v>
      </c>
      <c r="AQ6" s="19" t="s">
        <v>38</v>
      </c>
      <c r="AR6" s="19" t="s">
        <v>38</v>
      </c>
      <c r="AS6" s="19" t="s">
        <v>38</v>
      </c>
      <c r="AT6" s="19" t="s">
        <v>38</v>
      </c>
      <c r="AU6" s="19" t="s">
        <v>38</v>
      </c>
      <c r="AV6" s="19" t="s">
        <v>38</v>
      </c>
      <c r="AW6" s="19" t="s">
        <v>38</v>
      </c>
      <c r="AX6" s="19" t="s">
        <v>38</v>
      </c>
      <c r="AY6" s="19" t="s">
        <v>38</v>
      </c>
      <c r="AZ6" s="19" t="s">
        <v>38</v>
      </c>
      <c r="BA6" s="19" t="s">
        <v>38</v>
      </c>
      <c r="BB6" s="19" t="s">
        <v>38</v>
      </c>
      <c r="BC6" s="19" t="s">
        <v>38</v>
      </c>
      <c r="BD6" s="19" t="s">
        <v>38</v>
      </c>
      <c r="BE6" s="19" t="s">
        <v>38</v>
      </c>
      <c r="BF6" s="19" t="s">
        <v>38</v>
      </c>
      <c r="BG6" s="19" t="s">
        <v>38</v>
      </c>
      <c r="BH6" s="19" t="s">
        <v>38</v>
      </c>
      <c r="BI6" s="19" t="s">
        <v>38</v>
      </c>
      <c r="BJ6" s="19" t="s">
        <v>38</v>
      </c>
      <c r="BK6" s="19" t="s">
        <v>38</v>
      </c>
      <c r="BL6" s="19" t="s">
        <v>38</v>
      </c>
      <c r="BM6" s="19" t="s">
        <v>38</v>
      </c>
      <c r="BN6" s="19" t="s">
        <v>38</v>
      </c>
      <c r="BO6" s="19" t="s">
        <v>38</v>
      </c>
      <c r="BP6" s="19" t="s">
        <v>38</v>
      </c>
      <c r="BQ6" s="19" t="s">
        <v>38</v>
      </c>
      <c r="BR6" s="19" t="s">
        <v>38</v>
      </c>
      <c r="BS6" s="19" t="s">
        <v>38</v>
      </c>
      <c r="BT6" s="19" t="s">
        <v>38</v>
      </c>
      <c r="BU6" s="19" t="s">
        <v>38</v>
      </c>
      <c r="BV6" s="19" t="s">
        <v>38</v>
      </c>
      <c r="BW6" s="19" t="s">
        <v>38</v>
      </c>
      <c r="BX6" s="19" t="s">
        <v>38</v>
      </c>
      <c r="BY6" s="85" t="s">
        <v>38</v>
      </c>
      <c r="BZ6" s="84" t="s">
        <v>38</v>
      </c>
      <c r="CA6" s="86" t="s">
        <v>38</v>
      </c>
    </row>
    <row r="7" spans="1:79">
      <c r="A7" s="60" t="s">
        <v>5</v>
      </c>
      <c r="B7" s="82">
        <v>254468.858427</v>
      </c>
      <c r="C7" s="82">
        <v>4505567.6974299997</v>
      </c>
      <c r="D7" s="19" t="s">
        <v>38</v>
      </c>
      <c r="E7" s="19" t="s">
        <v>38</v>
      </c>
      <c r="F7" s="19" t="s">
        <v>38</v>
      </c>
      <c r="G7" s="19" t="s">
        <v>38</v>
      </c>
      <c r="H7" s="19" t="s">
        <v>38</v>
      </c>
      <c r="I7" s="19" t="s">
        <v>38</v>
      </c>
      <c r="J7" s="19" t="s">
        <v>38</v>
      </c>
      <c r="K7" s="19" t="s">
        <v>38</v>
      </c>
      <c r="L7" s="19" t="s">
        <v>38</v>
      </c>
      <c r="M7" s="19" t="s">
        <v>38</v>
      </c>
      <c r="N7" s="23" t="s">
        <v>38</v>
      </c>
      <c r="O7" s="23" t="s">
        <v>38</v>
      </c>
      <c r="P7" s="23" t="s">
        <v>38</v>
      </c>
      <c r="Q7" s="23" t="s">
        <v>38</v>
      </c>
      <c r="R7" s="23" t="s">
        <v>38</v>
      </c>
      <c r="S7" s="23" t="s">
        <v>38</v>
      </c>
      <c r="T7" s="19" t="s">
        <v>38</v>
      </c>
      <c r="U7" s="19" t="s">
        <v>38</v>
      </c>
      <c r="V7" s="19" t="s">
        <v>38</v>
      </c>
      <c r="W7" s="19" t="s">
        <v>38</v>
      </c>
      <c r="X7" s="19" t="s">
        <v>38</v>
      </c>
      <c r="Y7" s="19" t="s">
        <v>38</v>
      </c>
      <c r="Z7" s="19" t="s">
        <v>38</v>
      </c>
      <c r="AA7" s="19" t="s">
        <v>38</v>
      </c>
      <c r="AB7" s="19" t="s">
        <v>38</v>
      </c>
      <c r="AC7" s="19" t="s">
        <v>38</v>
      </c>
      <c r="AD7" s="19" t="s">
        <v>38</v>
      </c>
      <c r="AE7" s="19" t="s">
        <v>38</v>
      </c>
      <c r="AF7" s="19" t="s">
        <v>38</v>
      </c>
      <c r="AG7" s="19" t="s">
        <v>38</v>
      </c>
      <c r="AH7" s="19" t="s">
        <v>38</v>
      </c>
      <c r="AI7" s="19" t="s">
        <v>38</v>
      </c>
      <c r="AJ7" s="19" t="s">
        <v>38</v>
      </c>
      <c r="AK7" s="19" t="s">
        <v>38</v>
      </c>
      <c r="AL7" s="19" t="s">
        <v>38</v>
      </c>
      <c r="AM7" s="19" t="s">
        <v>38</v>
      </c>
      <c r="AN7" s="19" t="s">
        <v>38</v>
      </c>
      <c r="AO7" s="19" t="s">
        <v>38</v>
      </c>
      <c r="AP7" s="19" t="s">
        <v>38</v>
      </c>
      <c r="AQ7" s="19" t="s">
        <v>38</v>
      </c>
      <c r="AR7" s="19" t="s">
        <v>38</v>
      </c>
      <c r="AS7" s="19" t="s">
        <v>38</v>
      </c>
      <c r="AT7" s="19" t="s">
        <v>38</v>
      </c>
      <c r="AU7" s="19" t="s">
        <v>38</v>
      </c>
      <c r="AV7" s="19" t="s">
        <v>38</v>
      </c>
      <c r="AW7" s="19" t="s">
        <v>38</v>
      </c>
      <c r="AX7" s="19" t="s">
        <v>38</v>
      </c>
      <c r="AY7" s="19" t="s">
        <v>38</v>
      </c>
      <c r="AZ7" s="19" t="s">
        <v>38</v>
      </c>
      <c r="BA7" s="19" t="s">
        <v>38</v>
      </c>
      <c r="BB7" s="19" t="s">
        <v>38</v>
      </c>
      <c r="BC7" s="19" t="s">
        <v>38</v>
      </c>
      <c r="BD7" s="19" t="s">
        <v>38</v>
      </c>
      <c r="BE7" s="19" t="s">
        <v>38</v>
      </c>
      <c r="BF7" s="19" t="s">
        <v>38</v>
      </c>
      <c r="BG7" s="19" t="s">
        <v>38</v>
      </c>
      <c r="BH7" s="19" t="s">
        <v>38</v>
      </c>
      <c r="BI7" s="19" t="s">
        <v>38</v>
      </c>
      <c r="BJ7" s="19" t="s">
        <v>38</v>
      </c>
      <c r="BK7" s="19" t="s">
        <v>38</v>
      </c>
      <c r="BL7" s="19" t="s">
        <v>38</v>
      </c>
      <c r="BM7" s="19" t="s">
        <v>38</v>
      </c>
      <c r="BN7" s="19" t="s">
        <v>38</v>
      </c>
      <c r="BO7" s="19" t="s">
        <v>38</v>
      </c>
      <c r="BP7" s="19" t="s">
        <v>38</v>
      </c>
      <c r="BQ7" s="19" t="s">
        <v>38</v>
      </c>
      <c r="BR7" s="19" t="s">
        <v>38</v>
      </c>
      <c r="BS7" s="19" t="s">
        <v>38</v>
      </c>
      <c r="BT7" s="19" t="s">
        <v>38</v>
      </c>
      <c r="BU7" s="19" t="s">
        <v>38</v>
      </c>
      <c r="BV7" s="19" t="s">
        <v>38</v>
      </c>
      <c r="BW7" s="19" t="s">
        <v>38</v>
      </c>
      <c r="BX7" s="19" t="s">
        <v>38</v>
      </c>
      <c r="BY7" s="69" t="s">
        <v>38</v>
      </c>
      <c r="BZ7" s="69" t="s">
        <v>38</v>
      </c>
      <c r="CA7" s="86" t="s">
        <v>38</v>
      </c>
    </row>
    <row r="8" spans="1:79">
      <c r="A8" s="60" t="s">
        <v>6</v>
      </c>
      <c r="B8" s="82">
        <v>254476.14911900001</v>
      </c>
      <c r="C8" s="82">
        <v>4505545.3174999999</v>
      </c>
      <c r="D8" s="19" t="s">
        <v>38</v>
      </c>
      <c r="E8" s="19" t="s">
        <v>38</v>
      </c>
      <c r="F8" s="19" t="s">
        <v>38</v>
      </c>
      <c r="G8" s="19" t="s">
        <v>38</v>
      </c>
      <c r="H8" s="19" t="s">
        <v>38</v>
      </c>
      <c r="I8" s="19" t="s">
        <v>38</v>
      </c>
      <c r="J8" s="19" t="s">
        <v>38</v>
      </c>
      <c r="K8" s="19" t="s">
        <v>38</v>
      </c>
      <c r="L8" s="19" t="s">
        <v>38</v>
      </c>
      <c r="M8" s="19" t="s">
        <v>38</v>
      </c>
      <c r="N8" s="23" t="s">
        <v>38</v>
      </c>
      <c r="O8" s="23" t="s">
        <v>38</v>
      </c>
      <c r="P8" s="23" t="s">
        <v>38</v>
      </c>
      <c r="Q8" s="23" t="s">
        <v>38</v>
      </c>
      <c r="R8" s="23" t="s">
        <v>38</v>
      </c>
      <c r="S8" s="23" t="s">
        <v>38</v>
      </c>
      <c r="T8" s="19" t="s">
        <v>38</v>
      </c>
      <c r="U8" s="19" t="s">
        <v>38</v>
      </c>
      <c r="V8" s="19" t="s">
        <v>38</v>
      </c>
      <c r="W8" s="19" t="s">
        <v>38</v>
      </c>
      <c r="X8" s="19" t="s">
        <v>38</v>
      </c>
      <c r="Y8" s="19" t="s">
        <v>38</v>
      </c>
      <c r="Z8" s="19" t="s">
        <v>38</v>
      </c>
      <c r="AA8" s="19" t="s">
        <v>38</v>
      </c>
      <c r="AB8" s="19" t="s">
        <v>38</v>
      </c>
      <c r="AC8" s="19" t="s">
        <v>38</v>
      </c>
      <c r="AD8" s="19" t="s">
        <v>38</v>
      </c>
      <c r="AE8" s="19" t="s">
        <v>38</v>
      </c>
      <c r="AF8" s="19" t="s">
        <v>38</v>
      </c>
      <c r="AG8" s="19" t="s">
        <v>38</v>
      </c>
      <c r="AH8" s="19" t="s">
        <v>38</v>
      </c>
      <c r="AI8" s="19" t="s">
        <v>38</v>
      </c>
      <c r="AJ8" s="19" t="s">
        <v>38</v>
      </c>
      <c r="AK8" s="19" t="s">
        <v>38</v>
      </c>
      <c r="AL8" s="19" t="s">
        <v>38</v>
      </c>
      <c r="AM8" s="19" t="s">
        <v>38</v>
      </c>
      <c r="AN8" s="19" t="s">
        <v>38</v>
      </c>
      <c r="AO8" s="19" t="s">
        <v>38</v>
      </c>
      <c r="AP8" s="19" t="s">
        <v>38</v>
      </c>
      <c r="AQ8" s="19" t="s">
        <v>38</v>
      </c>
      <c r="AR8" s="19" t="s">
        <v>38</v>
      </c>
      <c r="AS8" s="19" t="s">
        <v>38</v>
      </c>
      <c r="AT8" s="19" t="s">
        <v>38</v>
      </c>
      <c r="AU8" s="19" t="s">
        <v>38</v>
      </c>
      <c r="AV8" s="19" t="s">
        <v>38</v>
      </c>
      <c r="AW8" s="19" t="s">
        <v>38</v>
      </c>
      <c r="AX8" s="19" t="s">
        <v>38</v>
      </c>
      <c r="AY8" s="19" t="s">
        <v>38</v>
      </c>
      <c r="AZ8" s="19" t="s">
        <v>38</v>
      </c>
      <c r="BA8" s="19" t="s">
        <v>38</v>
      </c>
      <c r="BB8" s="19" t="s">
        <v>38</v>
      </c>
      <c r="BC8" s="19" t="s">
        <v>38</v>
      </c>
      <c r="BD8" s="19" t="s">
        <v>38</v>
      </c>
      <c r="BE8" s="19" t="s">
        <v>38</v>
      </c>
      <c r="BF8" s="19" t="s">
        <v>38</v>
      </c>
      <c r="BG8" s="19" t="s">
        <v>38</v>
      </c>
      <c r="BH8" s="19" t="s">
        <v>38</v>
      </c>
      <c r="BI8" s="19" t="s">
        <v>38</v>
      </c>
      <c r="BJ8" s="19" t="s">
        <v>38</v>
      </c>
      <c r="BK8" s="19" t="s">
        <v>38</v>
      </c>
      <c r="BL8" s="19" t="s">
        <v>38</v>
      </c>
      <c r="BM8" s="19" t="s">
        <v>38</v>
      </c>
      <c r="BN8" s="19" t="s">
        <v>38</v>
      </c>
      <c r="BO8" s="19" t="s">
        <v>38</v>
      </c>
      <c r="BP8" s="19" t="s">
        <v>38</v>
      </c>
      <c r="BQ8" s="19" t="s">
        <v>38</v>
      </c>
      <c r="BR8" s="19" t="s">
        <v>38</v>
      </c>
      <c r="BS8" s="19" t="s">
        <v>38</v>
      </c>
      <c r="BT8" s="19" t="s">
        <v>38</v>
      </c>
      <c r="BU8" s="19" t="s">
        <v>38</v>
      </c>
      <c r="BV8" s="19" t="s">
        <v>38</v>
      </c>
      <c r="BW8" s="19" t="s">
        <v>38</v>
      </c>
      <c r="BX8" s="19" t="s">
        <v>38</v>
      </c>
      <c r="BY8" s="69" t="s">
        <v>38</v>
      </c>
      <c r="BZ8" s="69" t="s">
        <v>38</v>
      </c>
      <c r="CA8" s="86" t="s">
        <v>38</v>
      </c>
    </row>
    <row r="9" spans="1:79">
      <c r="A9" s="60" t="s">
        <v>7</v>
      </c>
      <c r="B9" s="82">
        <v>254480.78639699999</v>
      </c>
      <c r="C9" s="82">
        <v>4505534.9529600004</v>
      </c>
      <c r="D9" s="19" t="s">
        <v>38</v>
      </c>
      <c r="E9" s="19" t="s">
        <v>38</v>
      </c>
      <c r="F9" s="19" t="s">
        <v>38</v>
      </c>
      <c r="G9" s="19" t="s">
        <v>38</v>
      </c>
      <c r="H9" s="19" t="s">
        <v>38</v>
      </c>
      <c r="I9" s="19" t="s">
        <v>38</v>
      </c>
      <c r="J9" s="19" t="s">
        <v>38</v>
      </c>
      <c r="K9" s="19" t="s">
        <v>38</v>
      </c>
      <c r="L9" s="19" t="s">
        <v>38</v>
      </c>
      <c r="M9" s="19" t="s">
        <v>38</v>
      </c>
      <c r="N9" s="23" t="s">
        <v>38</v>
      </c>
      <c r="O9" s="23" t="s">
        <v>38</v>
      </c>
      <c r="P9" s="23" t="s">
        <v>38</v>
      </c>
      <c r="Q9" s="23" t="s">
        <v>38</v>
      </c>
      <c r="R9" s="23" t="s">
        <v>38</v>
      </c>
      <c r="S9" s="23" t="s">
        <v>38</v>
      </c>
      <c r="T9" s="19" t="s">
        <v>38</v>
      </c>
      <c r="U9" s="19" t="s">
        <v>38</v>
      </c>
      <c r="V9" s="19" t="s">
        <v>38</v>
      </c>
      <c r="W9" s="19" t="s">
        <v>38</v>
      </c>
      <c r="X9" s="19" t="s">
        <v>38</v>
      </c>
      <c r="Y9" s="19" t="s">
        <v>38</v>
      </c>
      <c r="Z9" s="19" t="s">
        <v>38</v>
      </c>
      <c r="AA9" s="19" t="s">
        <v>38</v>
      </c>
      <c r="AB9" s="19" t="s">
        <v>38</v>
      </c>
      <c r="AC9" s="19" t="s">
        <v>38</v>
      </c>
      <c r="AD9" s="19" t="s">
        <v>38</v>
      </c>
      <c r="AE9" s="19" t="s">
        <v>38</v>
      </c>
      <c r="AF9" s="19" t="s">
        <v>38</v>
      </c>
      <c r="AG9" s="19" t="s">
        <v>38</v>
      </c>
      <c r="AH9" s="19" t="s">
        <v>38</v>
      </c>
      <c r="AI9" s="19" t="s">
        <v>38</v>
      </c>
      <c r="AJ9" s="19" t="s">
        <v>38</v>
      </c>
      <c r="AK9" s="19" t="s">
        <v>38</v>
      </c>
      <c r="AL9" s="19" t="s">
        <v>38</v>
      </c>
      <c r="AM9" s="19" t="s">
        <v>38</v>
      </c>
      <c r="AN9" s="19" t="s">
        <v>38</v>
      </c>
      <c r="AO9" s="19" t="s">
        <v>38</v>
      </c>
      <c r="AP9" s="19" t="s">
        <v>38</v>
      </c>
      <c r="AQ9" s="19" t="s">
        <v>38</v>
      </c>
      <c r="AR9" s="19" t="s">
        <v>38</v>
      </c>
      <c r="AS9" s="19" t="s">
        <v>38</v>
      </c>
      <c r="AT9" s="19" t="s">
        <v>38</v>
      </c>
      <c r="AU9" s="19" t="s">
        <v>38</v>
      </c>
      <c r="AV9" s="19" t="s">
        <v>38</v>
      </c>
      <c r="AW9" s="19" t="s">
        <v>38</v>
      </c>
      <c r="AX9" s="19" t="s">
        <v>38</v>
      </c>
      <c r="AY9" s="19" t="s">
        <v>38</v>
      </c>
      <c r="AZ9" s="19" t="s">
        <v>38</v>
      </c>
      <c r="BA9" s="19" t="s">
        <v>38</v>
      </c>
      <c r="BB9" s="19" t="s">
        <v>38</v>
      </c>
      <c r="BC9" s="19" t="s">
        <v>38</v>
      </c>
      <c r="BD9" s="19" t="s">
        <v>38</v>
      </c>
      <c r="BE9" s="19" t="s">
        <v>38</v>
      </c>
      <c r="BF9" s="19" t="s">
        <v>38</v>
      </c>
      <c r="BG9" s="19" t="s">
        <v>38</v>
      </c>
      <c r="BH9" s="19" t="s">
        <v>38</v>
      </c>
      <c r="BI9" s="19" t="s">
        <v>38</v>
      </c>
      <c r="BJ9" s="19" t="s">
        <v>38</v>
      </c>
      <c r="BK9" s="19" t="s">
        <v>38</v>
      </c>
      <c r="BL9" s="19" t="s">
        <v>38</v>
      </c>
      <c r="BM9" s="19" t="s">
        <v>38</v>
      </c>
      <c r="BN9" s="19" t="s">
        <v>38</v>
      </c>
      <c r="BO9" s="19" t="s">
        <v>38</v>
      </c>
      <c r="BP9" s="19" t="s">
        <v>38</v>
      </c>
      <c r="BQ9" s="19" t="s">
        <v>38</v>
      </c>
      <c r="BR9" s="19" t="s">
        <v>38</v>
      </c>
      <c r="BS9" s="19" t="s">
        <v>38</v>
      </c>
      <c r="BT9" s="19" t="s">
        <v>38</v>
      </c>
      <c r="BU9" s="19" t="s">
        <v>38</v>
      </c>
      <c r="BV9" s="19" t="s">
        <v>38</v>
      </c>
      <c r="BW9" s="19" t="s">
        <v>38</v>
      </c>
      <c r="BX9" s="19" t="s">
        <v>38</v>
      </c>
      <c r="BY9" s="69" t="s">
        <v>38</v>
      </c>
      <c r="BZ9" s="69" t="s">
        <v>38</v>
      </c>
      <c r="CA9" s="86" t="s">
        <v>38</v>
      </c>
    </row>
    <row r="10" spans="1:79">
      <c r="A10" s="60" t="s">
        <v>8</v>
      </c>
      <c r="B10" s="83">
        <v>254482.79284800001</v>
      </c>
      <c r="C10" s="83">
        <v>4505529.4775599996</v>
      </c>
      <c r="D10" s="19" t="s">
        <v>38</v>
      </c>
      <c r="E10" s="19" t="s">
        <v>38</v>
      </c>
      <c r="F10" s="19" t="s">
        <v>38</v>
      </c>
      <c r="G10" s="19" t="s">
        <v>38</v>
      </c>
      <c r="H10" s="19" t="s">
        <v>38</v>
      </c>
      <c r="I10" s="19" t="s">
        <v>38</v>
      </c>
      <c r="J10" s="19" t="s">
        <v>38</v>
      </c>
      <c r="K10" s="19" t="s">
        <v>38</v>
      </c>
      <c r="L10" s="19" t="s">
        <v>38</v>
      </c>
      <c r="M10" s="19" t="s">
        <v>38</v>
      </c>
      <c r="N10" s="23" t="s">
        <v>38</v>
      </c>
      <c r="O10" s="23" t="s">
        <v>38</v>
      </c>
      <c r="P10" s="23" t="s">
        <v>38</v>
      </c>
      <c r="Q10" s="23" t="s">
        <v>38</v>
      </c>
      <c r="R10" s="23" t="s">
        <v>38</v>
      </c>
      <c r="S10" s="23" t="s">
        <v>38</v>
      </c>
      <c r="T10" s="19" t="s">
        <v>38</v>
      </c>
      <c r="U10" s="19" t="s">
        <v>38</v>
      </c>
      <c r="V10" s="19" t="s">
        <v>38</v>
      </c>
      <c r="W10" s="19" t="s">
        <v>38</v>
      </c>
      <c r="X10" s="19" t="s">
        <v>38</v>
      </c>
      <c r="Y10" s="19" t="s">
        <v>38</v>
      </c>
      <c r="Z10" s="19" t="s">
        <v>38</v>
      </c>
      <c r="AA10" s="19" t="s">
        <v>38</v>
      </c>
      <c r="AB10" s="19" t="s">
        <v>38</v>
      </c>
      <c r="AC10" s="19" t="s">
        <v>38</v>
      </c>
      <c r="AD10" s="19" t="s">
        <v>38</v>
      </c>
      <c r="AE10" s="19" t="s">
        <v>38</v>
      </c>
      <c r="AF10" s="19" t="s">
        <v>38</v>
      </c>
      <c r="AG10" s="19" t="s">
        <v>38</v>
      </c>
      <c r="AH10" s="19" t="s">
        <v>38</v>
      </c>
      <c r="AI10" s="19" t="s">
        <v>38</v>
      </c>
      <c r="AJ10" s="19" t="s">
        <v>38</v>
      </c>
      <c r="AK10" s="19" t="s">
        <v>38</v>
      </c>
      <c r="AL10" s="19" t="s">
        <v>38</v>
      </c>
      <c r="AM10" s="19" t="s">
        <v>38</v>
      </c>
      <c r="AN10" s="19" t="s">
        <v>38</v>
      </c>
      <c r="AO10" s="19" t="s">
        <v>38</v>
      </c>
      <c r="AP10" s="19" t="s">
        <v>38</v>
      </c>
      <c r="AQ10" s="19" t="s">
        <v>38</v>
      </c>
      <c r="AR10" s="19" t="s">
        <v>38</v>
      </c>
      <c r="AS10" s="19" t="s">
        <v>38</v>
      </c>
      <c r="AT10" s="19" t="s">
        <v>38</v>
      </c>
      <c r="AU10" s="19" t="s">
        <v>38</v>
      </c>
      <c r="AV10" s="19" t="s">
        <v>38</v>
      </c>
      <c r="AW10" s="19" t="s">
        <v>38</v>
      </c>
      <c r="AX10" s="19" t="s">
        <v>38</v>
      </c>
      <c r="AY10" s="19" t="s">
        <v>38</v>
      </c>
      <c r="AZ10" s="19" t="s">
        <v>38</v>
      </c>
      <c r="BA10" s="19" t="s">
        <v>38</v>
      </c>
      <c r="BB10" s="19" t="s">
        <v>38</v>
      </c>
      <c r="BC10" s="19" t="s">
        <v>38</v>
      </c>
      <c r="BD10" s="19" t="s">
        <v>38</v>
      </c>
      <c r="BE10" s="19" t="s">
        <v>38</v>
      </c>
      <c r="BF10" s="19" t="s">
        <v>38</v>
      </c>
      <c r="BG10" s="19" t="s">
        <v>38</v>
      </c>
      <c r="BH10" s="19" t="s">
        <v>38</v>
      </c>
      <c r="BI10" s="19" t="s">
        <v>38</v>
      </c>
      <c r="BJ10" s="19" t="s">
        <v>38</v>
      </c>
      <c r="BK10" s="19" t="s">
        <v>38</v>
      </c>
      <c r="BL10" s="19" t="s">
        <v>38</v>
      </c>
      <c r="BM10" s="19" t="s">
        <v>38</v>
      </c>
      <c r="BN10" s="19" t="s">
        <v>38</v>
      </c>
      <c r="BO10" s="19" t="s">
        <v>38</v>
      </c>
      <c r="BP10" s="19" t="s">
        <v>38</v>
      </c>
      <c r="BQ10" s="19" t="s">
        <v>38</v>
      </c>
      <c r="BR10" s="19" t="s">
        <v>38</v>
      </c>
      <c r="BS10" s="19" t="s">
        <v>38</v>
      </c>
      <c r="BT10" s="19" t="s">
        <v>38</v>
      </c>
      <c r="BU10" s="19" t="s">
        <v>38</v>
      </c>
      <c r="BV10" s="19" t="s">
        <v>38</v>
      </c>
      <c r="BW10" s="19" t="s">
        <v>38</v>
      </c>
      <c r="BX10" s="19" t="s">
        <v>38</v>
      </c>
      <c r="BY10" s="69" t="s">
        <v>38</v>
      </c>
      <c r="BZ10" s="69" t="s">
        <v>38</v>
      </c>
      <c r="CA10" s="86" t="s">
        <v>38</v>
      </c>
    </row>
    <row r="11" spans="1:79">
      <c r="A11" s="60" t="s">
        <v>9</v>
      </c>
      <c r="B11" s="83">
        <v>254484.75221499999</v>
      </c>
      <c r="C11" s="83">
        <v>4505526.81066</v>
      </c>
      <c r="D11" s="19" t="s">
        <v>38</v>
      </c>
      <c r="E11" s="19" t="s">
        <v>38</v>
      </c>
      <c r="F11" s="19" t="s">
        <v>38</v>
      </c>
      <c r="G11" s="19" t="s">
        <v>38</v>
      </c>
      <c r="H11" s="19" t="s">
        <v>38</v>
      </c>
      <c r="I11" s="19" t="s">
        <v>38</v>
      </c>
      <c r="J11" s="19" t="s">
        <v>38</v>
      </c>
      <c r="K11" s="19" t="s">
        <v>38</v>
      </c>
      <c r="L11" s="19" t="s">
        <v>38</v>
      </c>
      <c r="M11" s="19" t="s">
        <v>38</v>
      </c>
      <c r="N11" s="23" t="s">
        <v>38</v>
      </c>
      <c r="O11" s="23" t="s">
        <v>38</v>
      </c>
      <c r="P11" s="23" t="s">
        <v>38</v>
      </c>
      <c r="Q11" s="23" t="s">
        <v>38</v>
      </c>
      <c r="R11" s="23" t="s">
        <v>38</v>
      </c>
      <c r="S11" s="23" t="s">
        <v>38</v>
      </c>
      <c r="T11" s="19" t="s">
        <v>38</v>
      </c>
      <c r="U11" s="19" t="s">
        <v>38</v>
      </c>
      <c r="V11" s="19" t="s">
        <v>38</v>
      </c>
      <c r="W11" s="19" t="s">
        <v>38</v>
      </c>
      <c r="X11" s="19" t="s">
        <v>38</v>
      </c>
      <c r="Y11" s="19" t="s">
        <v>38</v>
      </c>
      <c r="Z11" s="19" t="s">
        <v>38</v>
      </c>
      <c r="AA11" s="19" t="s">
        <v>38</v>
      </c>
      <c r="AB11" s="19" t="s">
        <v>38</v>
      </c>
      <c r="AC11" s="19" t="s">
        <v>38</v>
      </c>
      <c r="AD11" s="19" t="s">
        <v>38</v>
      </c>
      <c r="AE11" s="19" t="s">
        <v>38</v>
      </c>
      <c r="AF11" s="19" t="s">
        <v>38</v>
      </c>
      <c r="AG11" s="19" t="s">
        <v>38</v>
      </c>
      <c r="AH11" s="19" t="s">
        <v>38</v>
      </c>
      <c r="AI11" s="19" t="s">
        <v>38</v>
      </c>
      <c r="AJ11" s="19" t="s">
        <v>38</v>
      </c>
      <c r="AK11" s="19" t="s">
        <v>38</v>
      </c>
      <c r="AL11" s="19" t="s">
        <v>38</v>
      </c>
      <c r="AM11" s="19" t="s">
        <v>38</v>
      </c>
      <c r="AN11" s="19" t="s">
        <v>38</v>
      </c>
      <c r="AO11" s="19" t="s">
        <v>38</v>
      </c>
      <c r="AP11" s="19" t="s">
        <v>38</v>
      </c>
      <c r="AQ11" s="19" t="s">
        <v>38</v>
      </c>
      <c r="AR11" s="19" t="s">
        <v>38</v>
      </c>
      <c r="AS11" s="19" t="s">
        <v>38</v>
      </c>
      <c r="AT11" s="19" t="s">
        <v>38</v>
      </c>
      <c r="AU11" s="19" t="s">
        <v>38</v>
      </c>
      <c r="AV11" s="19" t="s">
        <v>38</v>
      </c>
      <c r="AW11" s="19" t="s">
        <v>38</v>
      </c>
      <c r="AX11" s="19" t="s">
        <v>38</v>
      </c>
      <c r="AY11" s="19" t="s">
        <v>38</v>
      </c>
      <c r="AZ11" s="19" t="s">
        <v>38</v>
      </c>
      <c r="BA11" s="19" t="s">
        <v>38</v>
      </c>
      <c r="BB11" s="19" t="s">
        <v>38</v>
      </c>
      <c r="BC11" s="19" t="s">
        <v>38</v>
      </c>
      <c r="BD11" s="19" t="s">
        <v>38</v>
      </c>
      <c r="BE11" s="19" t="s">
        <v>38</v>
      </c>
      <c r="BF11" s="19" t="s">
        <v>38</v>
      </c>
      <c r="BG11" s="19" t="s">
        <v>38</v>
      </c>
      <c r="BH11" s="19" t="s">
        <v>38</v>
      </c>
      <c r="BI11" s="19" t="s">
        <v>38</v>
      </c>
      <c r="BJ11" s="19" t="s">
        <v>38</v>
      </c>
      <c r="BK11" s="19" t="s">
        <v>38</v>
      </c>
      <c r="BL11" s="19" t="s">
        <v>38</v>
      </c>
      <c r="BM11" s="19" t="s">
        <v>38</v>
      </c>
      <c r="BN11" s="19" t="s">
        <v>38</v>
      </c>
      <c r="BO11" s="19" t="s">
        <v>38</v>
      </c>
      <c r="BP11" s="19" t="s">
        <v>38</v>
      </c>
      <c r="BQ11" s="19" t="s">
        <v>38</v>
      </c>
      <c r="BR11" s="19" t="s">
        <v>38</v>
      </c>
      <c r="BS11" s="19" t="s">
        <v>38</v>
      </c>
      <c r="BT11" s="19" t="s">
        <v>38</v>
      </c>
      <c r="BU11" s="19" t="s">
        <v>38</v>
      </c>
      <c r="BV11" s="19" t="s">
        <v>38</v>
      </c>
      <c r="BW11" s="19" t="s">
        <v>38</v>
      </c>
      <c r="BX11" s="19" t="s">
        <v>38</v>
      </c>
      <c r="BY11" s="69" t="s">
        <v>38</v>
      </c>
      <c r="BZ11" s="69" t="s">
        <v>38</v>
      </c>
      <c r="CA11" s="86" t="s">
        <v>38</v>
      </c>
    </row>
    <row r="12" spans="1:79">
      <c r="A12" s="60">
        <v>1</v>
      </c>
      <c r="B12" s="83">
        <v>254273.42219000001</v>
      </c>
      <c r="C12" s="83">
        <v>4505589.5737600001</v>
      </c>
      <c r="D12" s="19" t="s">
        <v>38</v>
      </c>
      <c r="E12" s="19" t="s">
        <v>38</v>
      </c>
      <c r="F12" s="19" t="s">
        <v>38</v>
      </c>
      <c r="G12" s="19" t="s">
        <v>38</v>
      </c>
      <c r="H12" s="19" t="s">
        <v>38</v>
      </c>
      <c r="I12" s="19" t="s">
        <v>38</v>
      </c>
      <c r="J12" s="19" t="s">
        <v>38</v>
      </c>
      <c r="K12" s="19" t="s">
        <v>38</v>
      </c>
      <c r="L12" s="19" t="s">
        <v>38</v>
      </c>
      <c r="M12" s="19" t="s">
        <v>38</v>
      </c>
      <c r="N12" s="23" t="s">
        <v>38</v>
      </c>
      <c r="O12" s="23" t="s">
        <v>38</v>
      </c>
      <c r="P12" s="23" t="s">
        <v>38</v>
      </c>
      <c r="Q12" s="23" t="s">
        <v>38</v>
      </c>
      <c r="R12" s="23" t="s">
        <v>38</v>
      </c>
      <c r="S12" s="23" t="s">
        <v>38</v>
      </c>
      <c r="T12" s="19" t="s">
        <v>38</v>
      </c>
      <c r="U12" s="19" t="s">
        <v>38</v>
      </c>
      <c r="V12" s="19" t="s">
        <v>38</v>
      </c>
      <c r="W12" s="19" t="s">
        <v>38</v>
      </c>
      <c r="X12" s="19" t="s">
        <v>38</v>
      </c>
      <c r="Y12" s="19" t="s">
        <v>38</v>
      </c>
      <c r="Z12" s="19" t="s">
        <v>38</v>
      </c>
      <c r="AA12" s="19" t="s">
        <v>38</v>
      </c>
      <c r="AB12" s="19" t="s">
        <v>38</v>
      </c>
      <c r="AC12" s="19" t="s">
        <v>38</v>
      </c>
      <c r="AD12" s="19" t="s">
        <v>38</v>
      </c>
      <c r="AE12" s="19" t="s">
        <v>38</v>
      </c>
      <c r="AF12" s="19" t="s">
        <v>38</v>
      </c>
      <c r="AG12" s="19" t="s">
        <v>38</v>
      </c>
      <c r="AH12" s="19" t="s">
        <v>38</v>
      </c>
      <c r="AI12" s="19" t="s">
        <v>38</v>
      </c>
      <c r="AJ12" s="19" t="s">
        <v>38</v>
      </c>
      <c r="AK12" s="19" t="s">
        <v>38</v>
      </c>
      <c r="AL12" s="19" t="s">
        <v>38</v>
      </c>
      <c r="AM12" s="19" t="s">
        <v>38</v>
      </c>
      <c r="AN12" s="19" t="s">
        <v>38</v>
      </c>
      <c r="AO12" s="19" t="s">
        <v>38</v>
      </c>
      <c r="AP12" s="19" t="s">
        <v>38</v>
      </c>
      <c r="AQ12" s="19" t="s">
        <v>38</v>
      </c>
      <c r="AR12" s="19" t="s">
        <v>38</v>
      </c>
      <c r="AS12" s="19" t="s">
        <v>38</v>
      </c>
      <c r="AT12" s="19" t="s">
        <v>38</v>
      </c>
      <c r="AU12" s="19" t="s">
        <v>38</v>
      </c>
      <c r="AV12" s="19" t="s">
        <v>38</v>
      </c>
      <c r="AW12" s="19" t="s">
        <v>38</v>
      </c>
      <c r="AX12" s="19" t="s">
        <v>38</v>
      </c>
      <c r="AY12" s="19" t="s">
        <v>38</v>
      </c>
      <c r="AZ12" s="19" t="s">
        <v>38</v>
      </c>
      <c r="BA12" s="19" t="s">
        <v>38</v>
      </c>
      <c r="BB12" s="19" t="s">
        <v>38</v>
      </c>
      <c r="BC12" s="19" t="s">
        <v>38</v>
      </c>
      <c r="BD12" s="19" t="s">
        <v>38</v>
      </c>
      <c r="BE12" s="19" t="s">
        <v>38</v>
      </c>
      <c r="BF12" s="19" t="s">
        <v>38</v>
      </c>
      <c r="BG12" s="19" t="s">
        <v>38</v>
      </c>
      <c r="BH12" s="19" t="s">
        <v>38</v>
      </c>
      <c r="BI12" s="19" t="s">
        <v>38</v>
      </c>
      <c r="BJ12" s="19" t="s">
        <v>38</v>
      </c>
      <c r="BK12" s="19" t="s">
        <v>38</v>
      </c>
      <c r="BL12" s="19" t="s">
        <v>38</v>
      </c>
      <c r="BM12" s="19" t="s">
        <v>38</v>
      </c>
      <c r="BN12" s="19" t="s">
        <v>38</v>
      </c>
      <c r="BO12" s="19" t="s">
        <v>38</v>
      </c>
      <c r="BP12" s="19" t="s">
        <v>38</v>
      </c>
      <c r="BQ12" s="19" t="s">
        <v>38</v>
      </c>
      <c r="BR12" s="19" t="s">
        <v>38</v>
      </c>
      <c r="BS12" s="19" t="s">
        <v>38</v>
      </c>
      <c r="BT12" s="19" t="s">
        <v>38</v>
      </c>
      <c r="BU12" s="19" t="s">
        <v>38</v>
      </c>
      <c r="BV12" s="19" t="s">
        <v>38</v>
      </c>
      <c r="BW12" s="19" t="s">
        <v>38</v>
      </c>
      <c r="BX12" s="19" t="s">
        <v>38</v>
      </c>
      <c r="BY12" s="69" t="s">
        <v>38</v>
      </c>
      <c r="BZ12" s="69" t="s">
        <v>38</v>
      </c>
      <c r="CA12" s="86" t="s">
        <v>38</v>
      </c>
    </row>
    <row r="13" spans="1:79">
      <c r="A13" s="60">
        <v>2</v>
      </c>
      <c r="B13" s="83">
        <v>254268.40893599999</v>
      </c>
      <c r="C13" s="83">
        <v>4505552.5855400003</v>
      </c>
      <c r="D13" s="19" t="s">
        <v>38</v>
      </c>
      <c r="E13" s="19" t="s">
        <v>38</v>
      </c>
      <c r="F13" s="19" t="s">
        <v>38</v>
      </c>
      <c r="G13" s="19" t="s">
        <v>38</v>
      </c>
      <c r="H13" s="19" t="s">
        <v>38</v>
      </c>
      <c r="I13" s="19" t="s">
        <v>38</v>
      </c>
      <c r="J13" s="19" t="s">
        <v>38</v>
      </c>
      <c r="K13" s="19" t="s">
        <v>38</v>
      </c>
      <c r="L13" s="19" t="s">
        <v>38</v>
      </c>
      <c r="M13" s="19" t="s">
        <v>38</v>
      </c>
      <c r="N13" s="23" t="s">
        <v>38</v>
      </c>
      <c r="O13" s="23" t="s">
        <v>38</v>
      </c>
      <c r="P13" s="23" t="s">
        <v>38</v>
      </c>
      <c r="Q13" s="23" t="s">
        <v>38</v>
      </c>
      <c r="R13" s="23" t="s">
        <v>38</v>
      </c>
      <c r="S13" s="23" t="s">
        <v>38</v>
      </c>
      <c r="T13" s="19" t="s">
        <v>38</v>
      </c>
      <c r="U13" s="19" t="s">
        <v>38</v>
      </c>
      <c r="V13" s="19" t="s">
        <v>38</v>
      </c>
      <c r="W13" s="19" t="s">
        <v>38</v>
      </c>
      <c r="X13" s="19" t="s">
        <v>38</v>
      </c>
      <c r="Y13" s="19" t="s">
        <v>38</v>
      </c>
      <c r="Z13" s="19" t="s">
        <v>38</v>
      </c>
      <c r="AA13" s="19" t="s">
        <v>38</v>
      </c>
      <c r="AB13" s="19" t="s">
        <v>38</v>
      </c>
      <c r="AC13" s="19" t="s">
        <v>38</v>
      </c>
      <c r="AD13" s="19" t="s">
        <v>38</v>
      </c>
      <c r="AE13" s="19" t="s">
        <v>38</v>
      </c>
      <c r="AF13" s="19" t="s">
        <v>38</v>
      </c>
      <c r="AG13" s="19" t="s">
        <v>38</v>
      </c>
      <c r="AH13" s="19" t="s">
        <v>38</v>
      </c>
      <c r="AI13" s="19" t="s">
        <v>38</v>
      </c>
      <c r="AJ13" s="19" t="s">
        <v>38</v>
      </c>
      <c r="AK13" s="19" t="s">
        <v>38</v>
      </c>
      <c r="AL13" s="19" t="s">
        <v>38</v>
      </c>
      <c r="AM13" s="19" t="s">
        <v>38</v>
      </c>
      <c r="AN13" s="19" t="s">
        <v>38</v>
      </c>
      <c r="AO13" s="19" t="s">
        <v>38</v>
      </c>
      <c r="AP13" s="19" t="s">
        <v>38</v>
      </c>
      <c r="AQ13" s="19" t="s">
        <v>38</v>
      </c>
      <c r="AR13" s="19" t="s">
        <v>38</v>
      </c>
      <c r="AS13" s="19" t="s">
        <v>38</v>
      </c>
      <c r="AT13" s="19" t="s">
        <v>38</v>
      </c>
      <c r="AU13" s="19" t="s">
        <v>38</v>
      </c>
      <c r="AV13" s="19" t="s">
        <v>38</v>
      </c>
      <c r="AW13" s="19" t="s">
        <v>38</v>
      </c>
      <c r="AX13" s="19" t="s">
        <v>38</v>
      </c>
      <c r="AY13" s="19" t="s">
        <v>38</v>
      </c>
      <c r="AZ13" s="19" t="s">
        <v>38</v>
      </c>
      <c r="BA13" s="19" t="s">
        <v>38</v>
      </c>
      <c r="BB13" s="19" t="s">
        <v>38</v>
      </c>
      <c r="BC13" s="19" t="s">
        <v>38</v>
      </c>
      <c r="BD13" s="19" t="s">
        <v>38</v>
      </c>
      <c r="BE13" s="19" t="s">
        <v>38</v>
      </c>
      <c r="BF13" s="19" t="s">
        <v>38</v>
      </c>
      <c r="BG13" s="19" t="s">
        <v>38</v>
      </c>
      <c r="BH13" s="19" t="s">
        <v>38</v>
      </c>
      <c r="BI13" s="19" t="s">
        <v>38</v>
      </c>
      <c r="BJ13" s="19" t="s">
        <v>38</v>
      </c>
      <c r="BK13" s="19" t="s">
        <v>38</v>
      </c>
      <c r="BL13" s="19" t="s">
        <v>38</v>
      </c>
      <c r="BM13" s="19" t="s">
        <v>38</v>
      </c>
      <c r="BN13" s="19" t="s">
        <v>38</v>
      </c>
      <c r="BO13" s="19" t="s">
        <v>38</v>
      </c>
      <c r="BP13" s="19" t="s">
        <v>38</v>
      </c>
      <c r="BQ13" s="19" t="s">
        <v>38</v>
      </c>
      <c r="BR13" s="19" t="s">
        <v>38</v>
      </c>
      <c r="BS13" s="19" t="s">
        <v>38</v>
      </c>
      <c r="BT13" s="19" t="s">
        <v>38</v>
      </c>
      <c r="BU13" s="19" t="s">
        <v>38</v>
      </c>
      <c r="BV13" s="19" t="s">
        <v>38</v>
      </c>
      <c r="BW13" s="19" t="s">
        <v>38</v>
      </c>
      <c r="BX13" s="19" t="s">
        <v>38</v>
      </c>
      <c r="BY13" s="69" t="s">
        <v>38</v>
      </c>
      <c r="BZ13" s="69" t="s">
        <v>38</v>
      </c>
      <c r="CA13" s="86" t="s">
        <v>38</v>
      </c>
    </row>
    <row r="14" spans="1:79">
      <c r="A14" s="60">
        <v>3</v>
      </c>
      <c r="B14" s="83">
        <v>254274.76034199999</v>
      </c>
      <c r="C14" s="83">
        <v>4505519.1361699998</v>
      </c>
      <c r="D14" s="19" t="s">
        <v>38</v>
      </c>
      <c r="E14" s="19" t="s">
        <v>38</v>
      </c>
      <c r="F14" s="19" t="s">
        <v>38</v>
      </c>
      <c r="G14" s="19" t="s">
        <v>38</v>
      </c>
      <c r="H14" s="19" t="s">
        <v>38</v>
      </c>
      <c r="I14" s="19" t="s">
        <v>38</v>
      </c>
      <c r="J14" s="19" t="s">
        <v>38</v>
      </c>
      <c r="K14" s="19" t="s">
        <v>38</v>
      </c>
      <c r="L14" s="19" t="s">
        <v>38</v>
      </c>
      <c r="M14" s="19" t="s">
        <v>38</v>
      </c>
      <c r="N14" s="23" t="s">
        <v>38</v>
      </c>
      <c r="O14" s="23" t="s">
        <v>38</v>
      </c>
      <c r="P14" s="23" t="s">
        <v>38</v>
      </c>
      <c r="Q14" s="23" t="s">
        <v>38</v>
      </c>
      <c r="R14" s="23" t="s">
        <v>38</v>
      </c>
      <c r="S14" s="23" t="s">
        <v>38</v>
      </c>
      <c r="T14" s="19" t="s">
        <v>38</v>
      </c>
      <c r="U14" s="19" t="s">
        <v>38</v>
      </c>
      <c r="V14" s="19" t="s">
        <v>38</v>
      </c>
      <c r="W14" s="19" t="s">
        <v>38</v>
      </c>
      <c r="X14" s="19" t="s">
        <v>38</v>
      </c>
      <c r="Y14" s="19" t="s">
        <v>38</v>
      </c>
      <c r="Z14" s="19" t="s">
        <v>38</v>
      </c>
      <c r="AA14" s="19" t="s">
        <v>38</v>
      </c>
      <c r="AB14" s="19" t="s">
        <v>38</v>
      </c>
      <c r="AC14" s="19" t="s">
        <v>38</v>
      </c>
      <c r="AD14" s="19" t="s">
        <v>38</v>
      </c>
      <c r="AE14" s="19" t="s">
        <v>38</v>
      </c>
      <c r="AF14" s="19" t="s">
        <v>38</v>
      </c>
      <c r="AG14" s="19" t="s">
        <v>38</v>
      </c>
      <c r="AH14" s="19" t="s">
        <v>38</v>
      </c>
      <c r="AI14" s="19" t="s">
        <v>38</v>
      </c>
      <c r="AJ14" s="19" t="s">
        <v>38</v>
      </c>
      <c r="AK14" s="19" t="s">
        <v>38</v>
      </c>
      <c r="AL14" s="19" t="s">
        <v>38</v>
      </c>
      <c r="AM14" s="19" t="s">
        <v>38</v>
      </c>
      <c r="AN14" s="19" t="s">
        <v>38</v>
      </c>
      <c r="AO14" s="19" t="s">
        <v>38</v>
      </c>
      <c r="AP14" s="19" t="s">
        <v>38</v>
      </c>
      <c r="AQ14" s="19" t="s">
        <v>38</v>
      </c>
      <c r="AR14" s="19" t="s">
        <v>38</v>
      </c>
      <c r="AS14" s="19" t="s">
        <v>38</v>
      </c>
      <c r="AT14" s="19" t="s">
        <v>38</v>
      </c>
      <c r="AU14" s="19" t="s">
        <v>38</v>
      </c>
      <c r="AV14" s="19" t="s">
        <v>38</v>
      </c>
      <c r="AW14" s="19" t="s">
        <v>38</v>
      </c>
      <c r="AX14" s="19" t="s">
        <v>38</v>
      </c>
      <c r="AY14" s="19" t="s">
        <v>38</v>
      </c>
      <c r="AZ14" s="19" t="s">
        <v>38</v>
      </c>
      <c r="BA14" s="19" t="s">
        <v>38</v>
      </c>
      <c r="BB14" s="19" t="s">
        <v>38</v>
      </c>
      <c r="BC14" s="19" t="s">
        <v>38</v>
      </c>
      <c r="BD14" s="19" t="s">
        <v>38</v>
      </c>
      <c r="BE14" s="19" t="s">
        <v>38</v>
      </c>
      <c r="BF14" s="19" t="s">
        <v>38</v>
      </c>
      <c r="BG14" s="19" t="s">
        <v>38</v>
      </c>
      <c r="BH14" s="19" t="s">
        <v>38</v>
      </c>
      <c r="BI14" s="19" t="s">
        <v>38</v>
      </c>
      <c r="BJ14" s="19" t="s">
        <v>38</v>
      </c>
      <c r="BK14" s="19" t="s">
        <v>38</v>
      </c>
      <c r="BL14" s="19" t="s">
        <v>38</v>
      </c>
      <c r="BM14" s="19" t="s">
        <v>38</v>
      </c>
      <c r="BN14" s="19" t="s">
        <v>38</v>
      </c>
      <c r="BO14" s="19" t="s">
        <v>38</v>
      </c>
      <c r="BP14" s="19" t="s">
        <v>38</v>
      </c>
      <c r="BQ14" s="19" t="s">
        <v>38</v>
      </c>
      <c r="BR14" s="19" t="s">
        <v>38</v>
      </c>
      <c r="BS14" s="19" t="s">
        <v>38</v>
      </c>
      <c r="BT14" s="19" t="s">
        <v>38</v>
      </c>
      <c r="BU14" s="19" t="s">
        <v>38</v>
      </c>
      <c r="BV14" s="19" t="s">
        <v>38</v>
      </c>
      <c r="BW14" s="19" t="s">
        <v>38</v>
      </c>
      <c r="BX14" s="19" t="s">
        <v>38</v>
      </c>
      <c r="BY14" s="69" t="s">
        <v>38</v>
      </c>
      <c r="BZ14" s="69" t="s">
        <v>38</v>
      </c>
      <c r="CA14" s="86" t="s">
        <v>38</v>
      </c>
    </row>
    <row r="15" spans="1:79">
      <c r="A15" s="60">
        <v>4</v>
      </c>
      <c r="B15" s="83">
        <v>254256.98182799999</v>
      </c>
      <c r="C15" s="83">
        <v>4505565.69778</v>
      </c>
      <c r="D15" s="19" t="s">
        <v>38</v>
      </c>
      <c r="E15" s="19" t="s">
        <v>38</v>
      </c>
      <c r="F15" s="19" t="s">
        <v>38</v>
      </c>
      <c r="G15" s="19" t="s">
        <v>38</v>
      </c>
      <c r="H15" s="19" t="s">
        <v>38</v>
      </c>
      <c r="I15" s="19" t="s">
        <v>38</v>
      </c>
      <c r="J15" s="19" t="s">
        <v>38</v>
      </c>
      <c r="K15" s="19" t="s">
        <v>38</v>
      </c>
      <c r="L15" s="19" t="s">
        <v>38</v>
      </c>
      <c r="M15" s="19" t="s">
        <v>38</v>
      </c>
      <c r="N15" s="23" t="s">
        <v>38</v>
      </c>
      <c r="O15" s="23" t="s">
        <v>38</v>
      </c>
      <c r="P15" s="23" t="s">
        <v>38</v>
      </c>
      <c r="Q15" s="23" t="s">
        <v>38</v>
      </c>
      <c r="R15" s="23" t="s">
        <v>38</v>
      </c>
      <c r="S15" s="23" t="s">
        <v>38</v>
      </c>
      <c r="T15" s="19" t="s">
        <v>38</v>
      </c>
      <c r="U15" s="19" t="s">
        <v>38</v>
      </c>
      <c r="V15" s="19" t="s">
        <v>38</v>
      </c>
      <c r="W15" s="19" t="s">
        <v>38</v>
      </c>
      <c r="X15" s="19" t="s">
        <v>38</v>
      </c>
      <c r="Y15" s="19" t="s">
        <v>38</v>
      </c>
      <c r="Z15" s="19" t="s">
        <v>38</v>
      </c>
      <c r="AA15" s="19" t="s">
        <v>38</v>
      </c>
      <c r="AB15" s="19" t="s">
        <v>38</v>
      </c>
      <c r="AC15" s="19" t="s">
        <v>38</v>
      </c>
      <c r="AD15" s="19" t="s">
        <v>38</v>
      </c>
      <c r="AE15" s="19" t="s">
        <v>38</v>
      </c>
      <c r="AF15" s="19" t="s">
        <v>38</v>
      </c>
      <c r="AG15" s="19" t="s">
        <v>38</v>
      </c>
      <c r="AH15" s="19" t="s">
        <v>38</v>
      </c>
      <c r="AI15" s="19" t="s">
        <v>38</v>
      </c>
      <c r="AJ15" s="19" t="s">
        <v>38</v>
      </c>
      <c r="AK15" s="19" t="s">
        <v>38</v>
      </c>
      <c r="AL15" s="19" t="s">
        <v>38</v>
      </c>
      <c r="AM15" s="19" t="s">
        <v>38</v>
      </c>
      <c r="AN15" s="19" t="s">
        <v>38</v>
      </c>
      <c r="AO15" s="19" t="s">
        <v>38</v>
      </c>
      <c r="AP15" s="19" t="s">
        <v>38</v>
      </c>
      <c r="AQ15" s="19" t="s">
        <v>38</v>
      </c>
      <c r="AR15" s="19" t="s">
        <v>38</v>
      </c>
      <c r="AS15" s="19" t="s">
        <v>38</v>
      </c>
      <c r="AT15" s="19" t="s">
        <v>38</v>
      </c>
      <c r="AU15" s="19" t="s">
        <v>38</v>
      </c>
      <c r="AV15" s="19" t="s">
        <v>38</v>
      </c>
      <c r="AW15" s="19" t="s">
        <v>38</v>
      </c>
      <c r="AX15" s="19" t="s">
        <v>38</v>
      </c>
      <c r="AY15" s="19" t="s">
        <v>38</v>
      </c>
      <c r="AZ15" s="19" t="s">
        <v>38</v>
      </c>
      <c r="BA15" s="19" t="s">
        <v>38</v>
      </c>
      <c r="BB15" s="19" t="s">
        <v>38</v>
      </c>
      <c r="BC15" s="19" t="s">
        <v>38</v>
      </c>
      <c r="BD15" s="19" t="s">
        <v>38</v>
      </c>
      <c r="BE15" s="19" t="s">
        <v>38</v>
      </c>
      <c r="BF15" s="19" t="s">
        <v>38</v>
      </c>
      <c r="BG15" s="19" t="s">
        <v>38</v>
      </c>
      <c r="BH15" s="19" t="s">
        <v>38</v>
      </c>
      <c r="BI15" s="19" t="s">
        <v>38</v>
      </c>
      <c r="BJ15" s="19" t="s">
        <v>38</v>
      </c>
      <c r="BK15" s="19" t="s">
        <v>38</v>
      </c>
      <c r="BL15" s="19" t="s">
        <v>38</v>
      </c>
      <c r="BM15" s="19" t="s">
        <v>38</v>
      </c>
      <c r="BN15" s="19" t="s">
        <v>38</v>
      </c>
      <c r="BO15" s="19" t="s">
        <v>38</v>
      </c>
      <c r="BP15" s="19" t="s">
        <v>38</v>
      </c>
      <c r="BQ15" s="19" t="s">
        <v>38</v>
      </c>
      <c r="BR15" s="19" t="s">
        <v>38</v>
      </c>
      <c r="BS15" s="19" t="s">
        <v>38</v>
      </c>
      <c r="BT15" s="19" t="s">
        <v>38</v>
      </c>
      <c r="BU15" s="19" t="s">
        <v>38</v>
      </c>
      <c r="BV15" s="19" t="s">
        <v>38</v>
      </c>
      <c r="BW15" s="19" t="s">
        <v>38</v>
      </c>
      <c r="BX15" s="19" t="s">
        <v>38</v>
      </c>
      <c r="BY15" s="69" t="s">
        <v>38</v>
      </c>
      <c r="BZ15" s="69" t="s">
        <v>38</v>
      </c>
      <c r="CA15" s="86" t="s">
        <v>38</v>
      </c>
    </row>
    <row r="16" spans="1:79">
      <c r="A16" s="60">
        <v>5</v>
      </c>
      <c r="B16" s="83">
        <v>254279.200835</v>
      </c>
      <c r="C16" s="83">
        <v>4505539.2380799996</v>
      </c>
      <c r="D16" s="19" t="s">
        <v>38</v>
      </c>
      <c r="E16" s="19" t="s">
        <v>38</v>
      </c>
      <c r="F16" s="19" t="s">
        <v>38</v>
      </c>
      <c r="G16" s="19" t="s">
        <v>38</v>
      </c>
      <c r="H16" s="19" t="s">
        <v>38</v>
      </c>
      <c r="I16" s="19" t="s">
        <v>38</v>
      </c>
      <c r="J16" s="19" t="s">
        <v>38</v>
      </c>
      <c r="K16" s="19" t="s">
        <v>38</v>
      </c>
      <c r="L16" s="19" t="s">
        <v>38</v>
      </c>
      <c r="M16" s="19" t="s">
        <v>38</v>
      </c>
      <c r="N16" s="23" t="s">
        <v>38</v>
      </c>
      <c r="O16" s="23" t="s">
        <v>38</v>
      </c>
      <c r="P16" s="23" t="s">
        <v>38</v>
      </c>
      <c r="Q16" s="23" t="s">
        <v>38</v>
      </c>
      <c r="R16" s="23" t="s">
        <v>38</v>
      </c>
      <c r="S16" s="23" t="s">
        <v>38</v>
      </c>
      <c r="T16" s="19" t="s">
        <v>38</v>
      </c>
      <c r="U16" s="19" t="s">
        <v>38</v>
      </c>
      <c r="V16" s="19" t="s">
        <v>38</v>
      </c>
      <c r="W16" s="19" t="s">
        <v>38</v>
      </c>
      <c r="X16" s="19" t="s">
        <v>38</v>
      </c>
      <c r="Y16" s="19" t="s">
        <v>38</v>
      </c>
      <c r="Z16" s="19" t="s">
        <v>38</v>
      </c>
      <c r="AA16" s="19" t="s">
        <v>38</v>
      </c>
      <c r="AB16" s="19" t="s">
        <v>38</v>
      </c>
      <c r="AC16" s="19" t="s">
        <v>38</v>
      </c>
      <c r="AD16" s="19" t="s">
        <v>38</v>
      </c>
      <c r="AE16" s="19" t="s">
        <v>38</v>
      </c>
      <c r="AF16" s="19" t="s">
        <v>38</v>
      </c>
      <c r="AG16" s="19" t="s">
        <v>38</v>
      </c>
      <c r="AH16" s="19" t="s">
        <v>38</v>
      </c>
      <c r="AI16" s="19" t="s">
        <v>38</v>
      </c>
      <c r="AJ16" s="19" t="s">
        <v>38</v>
      </c>
      <c r="AK16" s="19" t="s">
        <v>38</v>
      </c>
      <c r="AL16" s="19" t="s">
        <v>38</v>
      </c>
      <c r="AM16" s="19" t="s">
        <v>38</v>
      </c>
      <c r="AN16" s="19" t="s">
        <v>38</v>
      </c>
      <c r="AO16" s="19" t="s">
        <v>38</v>
      </c>
      <c r="AP16" s="19" t="s">
        <v>38</v>
      </c>
      <c r="AQ16" s="19" t="s">
        <v>38</v>
      </c>
      <c r="AR16" s="19" t="s">
        <v>38</v>
      </c>
      <c r="AS16" s="19" t="s">
        <v>38</v>
      </c>
      <c r="AT16" s="19" t="s">
        <v>38</v>
      </c>
      <c r="AU16" s="19" t="s">
        <v>38</v>
      </c>
      <c r="AV16" s="19" t="s">
        <v>38</v>
      </c>
      <c r="AW16" s="19" t="s">
        <v>38</v>
      </c>
      <c r="AX16" s="19" t="s">
        <v>38</v>
      </c>
      <c r="AY16" s="19" t="s">
        <v>38</v>
      </c>
      <c r="AZ16" s="19" t="s">
        <v>38</v>
      </c>
      <c r="BA16" s="19" t="s">
        <v>38</v>
      </c>
      <c r="BB16" s="19" t="s">
        <v>38</v>
      </c>
      <c r="BC16" s="19" t="s">
        <v>38</v>
      </c>
      <c r="BD16" s="19" t="s">
        <v>38</v>
      </c>
      <c r="BE16" s="19" t="s">
        <v>38</v>
      </c>
      <c r="BF16" s="19" t="s">
        <v>38</v>
      </c>
      <c r="BG16" s="19" t="s">
        <v>38</v>
      </c>
      <c r="BH16" s="19" t="s">
        <v>38</v>
      </c>
      <c r="BI16" s="19" t="s">
        <v>38</v>
      </c>
      <c r="BJ16" s="19" t="s">
        <v>38</v>
      </c>
      <c r="BK16" s="19" t="s">
        <v>38</v>
      </c>
      <c r="BL16" s="19" t="s">
        <v>38</v>
      </c>
      <c r="BM16" s="19" t="s">
        <v>38</v>
      </c>
      <c r="BN16" s="19" t="s">
        <v>38</v>
      </c>
      <c r="BO16" s="19" t="s">
        <v>38</v>
      </c>
      <c r="BP16" s="19" t="s">
        <v>38</v>
      </c>
      <c r="BQ16" s="19" t="s">
        <v>38</v>
      </c>
      <c r="BR16" s="19" t="s">
        <v>38</v>
      </c>
      <c r="BS16" s="19" t="s">
        <v>38</v>
      </c>
      <c r="BT16" s="19" t="s">
        <v>38</v>
      </c>
      <c r="BU16" s="19" t="s">
        <v>38</v>
      </c>
      <c r="BV16" s="19" t="s">
        <v>38</v>
      </c>
      <c r="BW16" s="19" t="s">
        <v>38</v>
      </c>
      <c r="BX16" s="19" t="s">
        <v>38</v>
      </c>
      <c r="BY16" s="69" t="s">
        <v>38</v>
      </c>
      <c r="BZ16" s="69" t="s">
        <v>38</v>
      </c>
      <c r="CA16" s="86" t="s">
        <v>38</v>
      </c>
    </row>
    <row r="17" spans="1:79">
      <c r="A17" s="60">
        <v>6</v>
      </c>
      <c r="B17" s="82">
        <v>254321.19506200001</v>
      </c>
      <c r="C17" s="82">
        <v>4505578.1072300002</v>
      </c>
      <c r="D17" s="19" t="s">
        <v>38</v>
      </c>
      <c r="E17" s="19">
        <v>0.42549999999999999</v>
      </c>
      <c r="F17" s="19">
        <v>0.47149999999999997</v>
      </c>
      <c r="G17" s="19">
        <v>0.46350000000000002</v>
      </c>
      <c r="H17" s="19" t="s">
        <v>38</v>
      </c>
      <c r="I17" s="19">
        <v>0.43049999999999999</v>
      </c>
      <c r="J17" s="19">
        <v>0.40300000000000002</v>
      </c>
      <c r="K17" s="19">
        <v>0.27800000000000002</v>
      </c>
      <c r="L17" s="19">
        <v>0.38</v>
      </c>
      <c r="M17" s="19">
        <v>0.245</v>
      </c>
      <c r="N17" s="16">
        <v>0.32850000000000001</v>
      </c>
      <c r="O17" s="16">
        <v>0.21</v>
      </c>
      <c r="P17" s="16">
        <v>0.19600000000000001</v>
      </c>
      <c r="Q17" s="16">
        <v>0.35349999999999998</v>
      </c>
      <c r="R17" s="16">
        <v>0.46450000000000002</v>
      </c>
      <c r="S17" s="16">
        <v>0.46200000000000002</v>
      </c>
      <c r="T17" s="16">
        <v>0.61</v>
      </c>
      <c r="U17" s="16">
        <v>0.57399999999999995</v>
      </c>
      <c r="V17" s="16">
        <v>0.69199999999999995</v>
      </c>
      <c r="W17" s="16">
        <v>0.64900000000000002</v>
      </c>
      <c r="X17" s="23">
        <v>0.84699999999999998</v>
      </c>
      <c r="Y17" s="24">
        <v>0.78700000000000003</v>
      </c>
      <c r="Z17" s="23">
        <v>0.81899999999999995</v>
      </c>
      <c r="AA17" s="23">
        <v>0.78600000000000003</v>
      </c>
      <c r="AB17" s="23">
        <v>0.77100000000000002</v>
      </c>
      <c r="AC17" s="24" t="s">
        <v>38</v>
      </c>
      <c r="AD17" s="16">
        <v>0.60899999999999999</v>
      </c>
      <c r="AE17" s="16">
        <v>0.65600000000000003</v>
      </c>
      <c r="AF17" s="16">
        <v>0.52300000000000002</v>
      </c>
      <c r="AG17" s="16">
        <v>0.46</v>
      </c>
      <c r="AH17" s="16">
        <v>0.29699999999999999</v>
      </c>
      <c r="AI17" s="16">
        <v>0.29599999999999999</v>
      </c>
      <c r="AJ17" s="16">
        <v>0.32</v>
      </c>
      <c r="AK17" s="16">
        <v>0.22500000000000001</v>
      </c>
      <c r="AL17" s="16">
        <v>0.64700000000000002</v>
      </c>
      <c r="AM17" s="16" t="s">
        <v>38</v>
      </c>
      <c r="AN17" s="40">
        <v>0.46800000000000003</v>
      </c>
      <c r="AO17" s="40">
        <v>0.36699999999999999</v>
      </c>
      <c r="AP17" s="40">
        <v>0.45400000000000001</v>
      </c>
      <c r="AQ17" s="40">
        <v>0.52900000000000003</v>
      </c>
      <c r="AR17" s="40">
        <v>0.52600000000000002</v>
      </c>
      <c r="AS17" s="40">
        <v>0.53200000000000003</v>
      </c>
      <c r="AT17" s="40">
        <v>0.49</v>
      </c>
      <c r="AU17" s="40">
        <v>0.47299999999999998</v>
      </c>
      <c r="AV17" s="40">
        <v>0.35899999999999999</v>
      </c>
      <c r="AW17" s="40">
        <v>0.25700000000000001</v>
      </c>
      <c r="AX17" s="40">
        <v>0.223</v>
      </c>
      <c r="AY17" s="40">
        <v>0.42</v>
      </c>
      <c r="AZ17" s="40">
        <v>0.46100000000000002</v>
      </c>
      <c r="BA17" s="40">
        <v>0.39800000000000002</v>
      </c>
      <c r="BB17" s="59" t="s">
        <v>38</v>
      </c>
      <c r="BC17" s="40">
        <v>0.46300000000000002</v>
      </c>
      <c r="BD17" s="58" t="s">
        <v>38</v>
      </c>
      <c r="BE17" s="58" t="s">
        <v>38</v>
      </c>
      <c r="BF17" s="50" t="s">
        <v>38</v>
      </c>
      <c r="BG17" s="40">
        <v>0.53150000000000008</v>
      </c>
      <c r="BH17" s="38">
        <v>0.44</v>
      </c>
      <c r="BI17" s="38">
        <v>0.45450000000000002</v>
      </c>
      <c r="BJ17" s="38">
        <v>0.42600000000000005</v>
      </c>
      <c r="BK17" s="38">
        <v>0.39949999999999997</v>
      </c>
      <c r="BL17" s="38">
        <v>0.435</v>
      </c>
      <c r="BM17" s="38">
        <v>0.48549999999999999</v>
      </c>
      <c r="BN17" s="19" t="s">
        <v>38</v>
      </c>
      <c r="BO17" s="40">
        <v>0.4355</v>
      </c>
      <c r="BP17" s="38">
        <v>0.45250000000000001</v>
      </c>
      <c r="BQ17" s="38">
        <v>0.41100000000000003</v>
      </c>
      <c r="BR17" s="41">
        <v>0.41949999999999998</v>
      </c>
      <c r="BS17" s="19" t="s">
        <v>38</v>
      </c>
      <c r="BT17" s="41">
        <v>0.43</v>
      </c>
      <c r="BU17" s="19" t="s">
        <v>38</v>
      </c>
      <c r="BV17" s="41">
        <v>0.42899999999999999</v>
      </c>
      <c r="BW17" s="42">
        <v>0.4385</v>
      </c>
      <c r="BX17" s="42">
        <v>0.4365</v>
      </c>
      <c r="BY17" s="85">
        <f>(0.436+0.439)/2</f>
        <v>0.4375</v>
      </c>
      <c r="BZ17" s="85">
        <f>(0.564+0.577)/2</f>
        <v>0.57050000000000001</v>
      </c>
      <c r="CA17" s="86">
        <v>0.39900000000000002</v>
      </c>
    </row>
    <row r="18" spans="1:79">
      <c r="A18" s="60">
        <v>7</v>
      </c>
      <c r="B18" s="82">
        <v>254315.12577700001</v>
      </c>
      <c r="C18" s="82">
        <v>4505538.1711100005</v>
      </c>
      <c r="D18" s="19" t="s">
        <v>38</v>
      </c>
      <c r="E18" s="19" t="s">
        <v>38</v>
      </c>
      <c r="F18" s="19">
        <v>0.183</v>
      </c>
      <c r="G18" s="19">
        <v>0.17799999999999999</v>
      </c>
      <c r="H18" s="19">
        <v>0.17399999999999999</v>
      </c>
      <c r="I18" s="19">
        <v>0.14050000000000001</v>
      </c>
      <c r="J18" s="19">
        <v>0.1295</v>
      </c>
      <c r="K18" s="19">
        <v>0.1215</v>
      </c>
      <c r="L18" s="19" t="s">
        <v>38</v>
      </c>
      <c r="M18" s="19" t="s">
        <v>38</v>
      </c>
      <c r="N18" s="23" t="s">
        <v>38</v>
      </c>
      <c r="O18" s="23" t="s">
        <v>38</v>
      </c>
      <c r="P18" s="16">
        <v>0.13200000000000001</v>
      </c>
      <c r="Q18" s="16">
        <v>0.156</v>
      </c>
      <c r="R18" s="16">
        <v>0.1565</v>
      </c>
      <c r="S18" s="16">
        <v>0.17299999999999999</v>
      </c>
      <c r="T18" s="19" t="s">
        <v>38</v>
      </c>
      <c r="U18" s="19" t="s">
        <v>38</v>
      </c>
      <c r="V18" s="19" t="s">
        <v>38</v>
      </c>
      <c r="W18" s="19" t="s">
        <v>38</v>
      </c>
      <c r="X18" s="19" t="s">
        <v>38</v>
      </c>
      <c r="Y18" s="19" t="s">
        <v>38</v>
      </c>
      <c r="Z18" s="19" t="s">
        <v>38</v>
      </c>
      <c r="AA18" s="19" t="s">
        <v>38</v>
      </c>
      <c r="AB18" s="19" t="s">
        <v>38</v>
      </c>
      <c r="AC18" s="19" t="s">
        <v>38</v>
      </c>
      <c r="AD18" s="19" t="s">
        <v>38</v>
      </c>
      <c r="AE18" s="19" t="s">
        <v>38</v>
      </c>
      <c r="AF18" s="19" t="s">
        <v>38</v>
      </c>
      <c r="AG18" s="19" t="s">
        <v>38</v>
      </c>
      <c r="AH18" s="19" t="s">
        <v>38</v>
      </c>
      <c r="AI18" s="19" t="s">
        <v>38</v>
      </c>
      <c r="AJ18" s="19" t="s">
        <v>38</v>
      </c>
      <c r="AK18" s="19" t="s">
        <v>38</v>
      </c>
      <c r="AL18" s="19" t="s">
        <v>38</v>
      </c>
      <c r="AM18" s="19" t="s">
        <v>38</v>
      </c>
      <c r="AN18" s="19" t="s">
        <v>38</v>
      </c>
      <c r="AO18" s="19" t="s">
        <v>38</v>
      </c>
      <c r="AP18" s="19" t="s">
        <v>38</v>
      </c>
      <c r="AQ18" s="19" t="s">
        <v>38</v>
      </c>
      <c r="AR18" s="19" t="s">
        <v>38</v>
      </c>
      <c r="AS18" s="19" t="s">
        <v>38</v>
      </c>
      <c r="AT18" s="19" t="s">
        <v>38</v>
      </c>
      <c r="AU18" s="19" t="s">
        <v>38</v>
      </c>
      <c r="AV18" s="19" t="s">
        <v>38</v>
      </c>
      <c r="AW18" s="19" t="s">
        <v>38</v>
      </c>
      <c r="AX18" s="19" t="s">
        <v>38</v>
      </c>
      <c r="AY18" s="19" t="s">
        <v>38</v>
      </c>
      <c r="AZ18" s="19" t="s">
        <v>38</v>
      </c>
      <c r="BA18" s="19" t="s">
        <v>38</v>
      </c>
      <c r="BB18" s="19" t="s">
        <v>38</v>
      </c>
      <c r="BC18" s="19" t="s">
        <v>38</v>
      </c>
      <c r="BD18" s="19" t="s">
        <v>38</v>
      </c>
      <c r="BE18" s="19" t="s">
        <v>38</v>
      </c>
      <c r="BF18" s="19" t="s">
        <v>38</v>
      </c>
      <c r="BG18" s="19" t="s">
        <v>38</v>
      </c>
      <c r="BH18" s="19" t="s">
        <v>38</v>
      </c>
      <c r="BI18" s="19" t="s">
        <v>38</v>
      </c>
      <c r="BJ18" s="19" t="s">
        <v>38</v>
      </c>
      <c r="BK18" s="19" t="s">
        <v>38</v>
      </c>
      <c r="BL18" s="19" t="s">
        <v>38</v>
      </c>
      <c r="BM18" s="19" t="s">
        <v>38</v>
      </c>
      <c r="BN18" s="19" t="s">
        <v>38</v>
      </c>
      <c r="BO18" s="19" t="s">
        <v>38</v>
      </c>
      <c r="BP18" s="19" t="s">
        <v>38</v>
      </c>
      <c r="BQ18" s="19" t="s">
        <v>38</v>
      </c>
      <c r="BR18" s="19" t="s">
        <v>38</v>
      </c>
      <c r="BS18" s="19" t="s">
        <v>38</v>
      </c>
      <c r="BT18" s="19" t="s">
        <v>38</v>
      </c>
      <c r="BU18" s="19" t="s">
        <v>38</v>
      </c>
      <c r="BV18" s="19" t="s">
        <v>38</v>
      </c>
      <c r="BW18" s="19" t="s">
        <v>38</v>
      </c>
      <c r="BX18" s="19" t="s">
        <v>38</v>
      </c>
      <c r="BY18" s="85">
        <f>(0.455+0.15)/2</f>
        <v>0.30249999999999999</v>
      </c>
      <c r="BZ18" s="85">
        <f>(0.175+0.185)/2</f>
        <v>0.18</v>
      </c>
      <c r="CA18" s="86" t="s">
        <v>38</v>
      </c>
    </row>
    <row r="19" spans="1:79">
      <c r="A19" s="60">
        <v>8</v>
      </c>
      <c r="B19" s="82">
        <v>254315.63247400001</v>
      </c>
      <c r="C19" s="82">
        <v>4505540.80064</v>
      </c>
      <c r="D19" s="19" t="s">
        <v>38</v>
      </c>
      <c r="E19" s="19">
        <v>0.16800000000000001</v>
      </c>
      <c r="F19" s="19">
        <v>0.158</v>
      </c>
      <c r="G19" s="19">
        <v>0.1855</v>
      </c>
      <c r="H19" s="19">
        <v>0.17049999999999998</v>
      </c>
      <c r="I19" s="19">
        <v>0.13850000000000001</v>
      </c>
      <c r="J19" s="19">
        <v>0.13200000000000001</v>
      </c>
      <c r="K19" s="19">
        <v>0.11549999999999999</v>
      </c>
      <c r="L19" s="19">
        <v>0.10700000000000001</v>
      </c>
      <c r="M19" s="19">
        <v>0.106</v>
      </c>
      <c r="N19" s="16">
        <v>0.108</v>
      </c>
      <c r="O19" s="16">
        <v>0.10100000000000001</v>
      </c>
      <c r="P19" s="16">
        <v>0.10200000000000001</v>
      </c>
      <c r="Q19" s="16">
        <v>0.15049999999999999</v>
      </c>
      <c r="R19" s="23" t="s">
        <v>38</v>
      </c>
      <c r="S19" s="16">
        <v>6.5500000000000003E-2</v>
      </c>
      <c r="T19" s="16">
        <v>0.188</v>
      </c>
      <c r="U19" s="16">
        <v>0.189</v>
      </c>
      <c r="V19" s="16">
        <v>0.156</v>
      </c>
      <c r="W19" s="16">
        <v>0.183</v>
      </c>
      <c r="X19" s="23">
        <v>0.17799999999999999</v>
      </c>
      <c r="Y19" s="24">
        <v>0.15</v>
      </c>
      <c r="Z19" s="23">
        <v>0.157</v>
      </c>
      <c r="AA19" s="23">
        <v>0.155</v>
      </c>
      <c r="AB19" s="23">
        <v>0.187</v>
      </c>
      <c r="AC19" s="24">
        <v>0.19800000000000001</v>
      </c>
      <c r="AD19" s="16">
        <v>0.20100000000000001</v>
      </c>
      <c r="AE19" s="16">
        <v>0.183</v>
      </c>
      <c r="AF19" s="16">
        <v>0.156</v>
      </c>
      <c r="AG19" s="16">
        <v>0.13300000000000001</v>
      </c>
      <c r="AH19" s="16">
        <v>0.14499999999999999</v>
      </c>
      <c r="AI19" s="16">
        <v>0.11899999999999999</v>
      </c>
      <c r="AJ19" s="16">
        <v>0.14099999999999999</v>
      </c>
      <c r="AK19" s="16">
        <v>0.13100000000000001</v>
      </c>
      <c r="AL19" s="16">
        <v>0.221</v>
      </c>
      <c r="AM19" s="16">
        <v>0.13100000000000001</v>
      </c>
      <c r="AN19" s="40">
        <v>0.189</v>
      </c>
      <c r="AO19" s="40">
        <v>0.11899999999999999</v>
      </c>
      <c r="AP19" s="40">
        <v>0.11799999999999999</v>
      </c>
      <c r="AQ19" s="40">
        <v>0.13300000000000001</v>
      </c>
      <c r="AR19" s="40">
        <v>0.13500000000000001</v>
      </c>
      <c r="AS19" s="40">
        <v>0.13700000000000001</v>
      </c>
      <c r="AT19" s="40">
        <v>0.13100000000000001</v>
      </c>
      <c r="AU19" s="40">
        <v>0.13700000000000001</v>
      </c>
      <c r="AV19" s="40">
        <v>0.126</v>
      </c>
      <c r="AW19" s="40">
        <v>0.115</v>
      </c>
      <c r="AX19" s="40">
        <v>0.11899999999999999</v>
      </c>
      <c r="AY19" s="40">
        <v>0.126</v>
      </c>
      <c r="AZ19" s="40">
        <v>0.13200000000000001</v>
      </c>
      <c r="BA19" s="40">
        <v>0.115</v>
      </c>
      <c r="BB19" s="19" t="s">
        <v>38</v>
      </c>
      <c r="BC19" s="40">
        <v>0.13650000000000001</v>
      </c>
      <c r="BD19" s="19" t="s">
        <v>38</v>
      </c>
      <c r="BE19" s="19" t="s">
        <v>38</v>
      </c>
      <c r="BF19" s="19" t="s">
        <v>38</v>
      </c>
      <c r="BG19" s="40">
        <v>0.17899999999999999</v>
      </c>
      <c r="BH19" s="38">
        <v>0.1525</v>
      </c>
      <c r="BI19" s="38">
        <v>0.18049999999999999</v>
      </c>
      <c r="BJ19" s="38">
        <v>0.16200000000000001</v>
      </c>
      <c r="BK19" s="38">
        <v>0.17349999999999999</v>
      </c>
      <c r="BL19" s="38">
        <v>0.16850000000000001</v>
      </c>
      <c r="BM19" s="38">
        <v>6.6000000000000003E-2</v>
      </c>
      <c r="BN19" s="19" t="s">
        <v>38</v>
      </c>
      <c r="BO19" s="40">
        <v>0.14150000000000001</v>
      </c>
      <c r="BP19" s="38">
        <v>0.15049999999999999</v>
      </c>
      <c r="BQ19" s="38">
        <v>0.14550000000000002</v>
      </c>
      <c r="BR19" s="41">
        <v>0.1525</v>
      </c>
      <c r="BS19" s="19" t="s">
        <v>38</v>
      </c>
      <c r="BT19" s="41">
        <v>0.14399999999999999</v>
      </c>
      <c r="BU19" s="19" t="s">
        <v>38</v>
      </c>
      <c r="BV19" s="41">
        <v>0.155</v>
      </c>
      <c r="BW19" s="42">
        <v>0.1555</v>
      </c>
      <c r="BX19" s="42">
        <v>0.124</v>
      </c>
      <c r="BY19" s="85">
        <f>(0.187+0.19)/2</f>
        <v>0.1885</v>
      </c>
      <c r="BZ19" s="85">
        <f>(0.245+0.246)/2</f>
        <v>0.2455</v>
      </c>
      <c r="CA19" s="86">
        <v>0.19450000000000001</v>
      </c>
    </row>
    <row r="20" spans="1:79">
      <c r="A20" s="60">
        <v>9</v>
      </c>
      <c r="B20" s="82">
        <v>254318.80336600001</v>
      </c>
      <c r="C20" s="82">
        <v>4505533.64805</v>
      </c>
      <c r="D20" s="19" t="s">
        <v>38</v>
      </c>
      <c r="E20" s="19">
        <v>0.1915</v>
      </c>
      <c r="F20" s="19">
        <v>0.20100000000000001</v>
      </c>
      <c r="G20" s="19">
        <v>0.189</v>
      </c>
      <c r="H20" s="19">
        <v>0.17549999999999999</v>
      </c>
      <c r="I20" s="19">
        <v>0.17049999999999998</v>
      </c>
      <c r="J20" s="19">
        <v>0.17</v>
      </c>
      <c r="K20" s="19">
        <v>0.155</v>
      </c>
      <c r="L20" s="19">
        <v>0.14799999999999999</v>
      </c>
      <c r="M20" s="19">
        <v>0.13350000000000001</v>
      </c>
      <c r="N20" s="16">
        <v>0.1515</v>
      </c>
      <c r="O20" s="16">
        <v>0.14449999999999999</v>
      </c>
      <c r="P20" s="16">
        <v>0.13150000000000001</v>
      </c>
      <c r="Q20" s="16">
        <v>0.17</v>
      </c>
      <c r="R20" s="23" t="s">
        <v>38</v>
      </c>
      <c r="S20" s="16">
        <v>0.16650000000000001</v>
      </c>
      <c r="T20" s="16">
        <v>0.20499999999999999</v>
      </c>
      <c r="U20" s="16">
        <v>0.21299999999999999</v>
      </c>
      <c r="V20" s="16">
        <v>0.2</v>
      </c>
      <c r="W20" s="16">
        <v>0.223</v>
      </c>
      <c r="X20" s="23">
        <v>0.20799999999999999</v>
      </c>
      <c r="Y20" s="24">
        <v>0.184</v>
      </c>
      <c r="Z20" s="23">
        <v>0.189</v>
      </c>
      <c r="AA20" s="23">
        <v>0.21</v>
      </c>
      <c r="AB20" s="23">
        <v>0.20599999999999999</v>
      </c>
      <c r="AC20" s="24">
        <v>0.22</v>
      </c>
      <c r="AD20" s="16">
        <v>0.21099999999999999</v>
      </c>
      <c r="AE20" s="16">
        <v>0.217</v>
      </c>
      <c r="AF20" s="16">
        <v>0.17599999999999999</v>
      </c>
      <c r="AG20" s="16">
        <v>0.19800000000000001</v>
      </c>
      <c r="AH20" s="16">
        <v>0.16600000000000001</v>
      </c>
      <c r="AI20" s="16">
        <v>0.155</v>
      </c>
      <c r="AJ20" s="16">
        <v>0.16800000000000001</v>
      </c>
      <c r="AK20" s="16">
        <v>0.17699999999999999</v>
      </c>
      <c r="AL20" s="16">
        <v>0.24199999999999999</v>
      </c>
      <c r="AM20" s="16">
        <v>0.223</v>
      </c>
      <c r="AN20" s="40">
        <v>0.20100000000000001</v>
      </c>
      <c r="AO20" s="40">
        <v>0.161</v>
      </c>
      <c r="AP20" s="40">
        <v>0.219</v>
      </c>
      <c r="AQ20" s="40">
        <v>0.184</v>
      </c>
      <c r="AR20" s="40">
        <v>0.17699999999999999</v>
      </c>
      <c r="AS20" s="40">
        <v>0.185</v>
      </c>
      <c r="AT20" s="40">
        <v>0.17399999999999999</v>
      </c>
      <c r="AU20" s="40">
        <v>0.17199999999999999</v>
      </c>
      <c r="AV20" s="40">
        <v>0.17899999999999999</v>
      </c>
      <c r="AW20" s="40">
        <v>0.158</v>
      </c>
      <c r="AX20" s="40">
        <v>0.14699999999999999</v>
      </c>
      <c r="AY20" s="40">
        <v>0.17899999999999999</v>
      </c>
      <c r="AZ20" s="40">
        <v>0.17399999999999999</v>
      </c>
      <c r="BA20" s="40">
        <v>0.17399999999999999</v>
      </c>
      <c r="BB20" s="19" t="s">
        <v>38</v>
      </c>
      <c r="BC20" s="40">
        <v>0.14699999999999999</v>
      </c>
      <c r="BD20" s="19" t="s">
        <v>38</v>
      </c>
      <c r="BE20" s="19" t="s">
        <v>38</v>
      </c>
      <c r="BF20" s="19" t="s">
        <v>38</v>
      </c>
      <c r="BG20" s="40">
        <v>0.20499999999999999</v>
      </c>
      <c r="BH20" s="38">
        <v>0.17599999999999999</v>
      </c>
      <c r="BI20" s="38">
        <v>0.1905</v>
      </c>
      <c r="BJ20" s="38">
        <v>0.19</v>
      </c>
      <c r="BK20" s="38">
        <v>0.183</v>
      </c>
      <c r="BL20" s="38">
        <v>0.1825</v>
      </c>
      <c r="BM20" s="38">
        <v>0.19850000000000001</v>
      </c>
      <c r="BN20" s="19" t="s">
        <v>38</v>
      </c>
      <c r="BO20" s="40">
        <v>0.20150000000000001</v>
      </c>
      <c r="BP20" s="38">
        <v>0.19600000000000001</v>
      </c>
      <c r="BQ20" s="38">
        <v>0.16300000000000001</v>
      </c>
      <c r="BR20" s="41">
        <v>0.161</v>
      </c>
      <c r="BS20" s="19" t="s">
        <v>38</v>
      </c>
      <c r="BT20" s="41">
        <v>0.17349999999999999</v>
      </c>
      <c r="BU20" s="19" t="s">
        <v>38</v>
      </c>
      <c r="BV20" s="41">
        <v>0.151</v>
      </c>
      <c r="BW20" s="42">
        <v>0.16900000000000001</v>
      </c>
      <c r="BX20" s="42">
        <v>0.17449999999999999</v>
      </c>
      <c r="BY20" s="85">
        <f>(0.23+0.228)/2</f>
        <v>0.22900000000000001</v>
      </c>
      <c r="BZ20" s="85">
        <f>(0.266+0.272)/2</f>
        <v>0.26900000000000002</v>
      </c>
      <c r="CA20" s="86">
        <v>0.20749999999999999</v>
      </c>
    </row>
    <row r="21" spans="1:79">
      <c r="A21" s="60">
        <v>10</v>
      </c>
      <c r="B21" s="82">
        <v>254304.411941</v>
      </c>
      <c r="C21" s="82">
        <v>4505533.3200700004</v>
      </c>
      <c r="D21" s="19" t="s">
        <v>38</v>
      </c>
      <c r="E21" s="19">
        <v>0.19500000000000001</v>
      </c>
      <c r="F21" s="19">
        <v>0.18149999999999999</v>
      </c>
      <c r="G21" s="19">
        <v>0.17449999999999999</v>
      </c>
      <c r="H21" s="19">
        <v>0.17899999999999999</v>
      </c>
      <c r="I21" s="19">
        <v>0.1615</v>
      </c>
      <c r="J21" s="19">
        <v>0.1515</v>
      </c>
      <c r="K21" s="19">
        <v>0.13350000000000001</v>
      </c>
      <c r="L21" s="19">
        <v>0.14150000000000001</v>
      </c>
      <c r="M21" s="19">
        <v>0.11599999999999999</v>
      </c>
      <c r="N21" s="16">
        <v>0.14200000000000002</v>
      </c>
      <c r="O21" s="16">
        <v>0.12</v>
      </c>
      <c r="P21" s="16">
        <v>0.129</v>
      </c>
      <c r="Q21" s="16">
        <v>0.1615</v>
      </c>
      <c r="R21" s="16">
        <v>0.1515</v>
      </c>
      <c r="S21" s="16">
        <v>0.18099999999999999</v>
      </c>
      <c r="T21" s="16">
        <v>0.20799999999999999</v>
      </c>
      <c r="U21" s="16">
        <v>0.20300000000000001</v>
      </c>
      <c r="V21" s="16">
        <v>0.20399999999999999</v>
      </c>
      <c r="W21" s="16">
        <v>0.20100000000000001</v>
      </c>
      <c r="X21" s="23">
        <v>0.20499999999999999</v>
      </c>
      <c r="Y21" s="24">
        <v>0.186</v>
      </c>
      <c r="Z21" s="23">
        <v>0.191</v>
      </c>
      <c r="AA21" s="23">
        <v>0.20599999999999999</v>
      </c>
      <c r="AB21" s="23">
        <v>0.20499999999999999</v>
      </c>
      <c r="AC21" s="24">
        <v>0.19800000000000001</v>
      </c>
      <c r="AD21" s="16">
        <v>0.217</v>
      </c>
      <c r="AE21" s="16">
        <v>0.182</v>
      </c>
      <c r="AF21" s="16">
        <v>0.16</v>
      </c>
      <c r="AG21" s="16">
        <v>0.161</v>
      </c>
      <c r="AH21" s="16">
        <v>0.159</v>
      </c>
      <c r="AI21" s="16">
        <v>0.153</v>
      </c>
      <c r="AJ21" s="16">
        <v>0.184</v>
      </c>
      <c r="AK21" s="16">
        <v>0.16600000000000001</v>
      </c>
      <c r="AL21" s="16">
        <v>0.222</v>
      </c>
      <c r="AM21" s="16">
        <v>0.22800000000000001</v>
      </c>
      <c r="AN21" s="40">
        <v>0.191</v>
      </c>
      <c r="AO21" s="40">
        <v>0.129</v>
      </c>
      <c r="AP21" s="40" t="s">
        <v>38</v>
      </c>
      <c r="AQ21" s="40">
        <v>0.16300000000000001</v>
      </c>
      <c r="AR21" s="40">
        <v>0.16200000000000001</v>
      </c>
      <c r="AS21" s="40">
        <v>0.16500000000000001</v>
      </c>
      <c r="AT21" s="40">
        <v>0.16500000000000001</v>
      </c>
      <c r="AU21" s="40">
        <v>0.155</v>
      </c>
      <c r="AV21" s="40">
        <v>0.153</v>
      </c>
      <c r="AW21" s="40">
        <v>0.13900000000000001</v>
      </c>
      <c r="AX21" s="40">
        <v>0.14299999999999999</v>
      </c>
      <c r="AY21" s="40">
        <v>0.16800000000000001</v>
      </c>
      <c r="AZ21" s="40">
        <v>0.16400000000000001</v>
      </c>
      <c r="BA21" s="40">
        <v>0.157</v>
      </c>
      <c r="BB21" s="19" t="s">
        <v>38</v>
      </c>
      <c r="BC21" s="40">
        <v>0.13450000000000001</v>
      </c>
      <c r="BD21" s="19" t="s">
        <v>38</v>
      </c>
      <c r="BE21" s="19" t="s">
        <v>38</v>
      </c>
      <c r="BF21" s="19" t="s">
        <v>38</v>
      </c>
      <c r="BG21" s="40">
        <v>0.18099999999999999</v>
      </c>
      <c r="BH21" s="38">
        <v>0.16600000000000001</v>
      </c>
      <c r="BI21" s="38">
        <v>0.1855</v>
      </c>
      <c r="BJ21" s="38">
        <v>0.191</v>
      </c>
      <c r="BK21" s="38">
        <v>0.16400000000000001</v>
      </c>
      <c r="BL21" s="38">
        <v>0.16550000000000001</v>
      </c>
      <c r="BM21" s="38">
        <v>0.183</v>
      </c>
      <c r="BN21" s="19" t="s">
        <v>38</v>
      </c>
      <c r="BO21" s="40">
        <v>0.17799999999999999</v>
      </c>
      <c r="BP21" s="38">
        <v>0.185</v>
      </c>
      <c r="BQ21" s="38">
        <v>0.15</v>
      </c>
      <c r="BR21" s="41">
        <v>0.16800000000000001</v>
      </c>
      <c r="BS21" s="19" t="s">
        <v>38</v>
      </c>
      <c r="BT21" s="41">
        <v>0.14849999999999999</v>
      </c>
      <c r="BU21" s="19" t="s">
        <v>38</v>
      </c>
      <c r="BV21" s="41">
        <v>0.14450000000000002</v>
      </c>
      <c r="BW21" s="42">
        <v>0.155</v>
      </c>
      <c r="BX21" s="42">
        <v>0.16400000000000001</v>
      </c>
      <c r="BY21" s="85">
        <f>(0.213+0.212)/2</f>
        <v>0.21249999999999999</v>
      </c>
      <c r="BZ21" s="85">
        <f>(0.252+0.268)/2</f>
        <v>0.26</v>
      </c>
      <c r="CA21" s="86">
        <v>0.2135</v>
      </c>
    </row>
    <row r="22" spans="1:79">
      <c r="A22" s="60">
        <v>11</v>
      </c>
      <c r="B22" s="82">
        <v>254377.22509600001</v>
      </c>
      <c r="C22" s="82">
        <v>4505568.8344999999</v>
      </c>
      <c r="D22" s="19" t="s">
        <v>38</v>
      </c>
      <c r="E22" s="19" t="s">
        <v>38</v>
      </c>
      <c r="F22" s="19" t="s">
        <v>38</v>
      </c>
      <c r="G22" s="19" t="s">
        <v>38</v>
      </c>
      <c r="H22" s="19" t="s">
        <v>38</v>
      </c>
      <c r="I22" s="19" t="s">
        <v>38</v>
      </c>
      <c r="J22" s="19" t="s">
        <v>38</v>
      </c>
      <c r="K22" s="19" t="s">
        <v>38</v>
      </c>
      <c r="L22" s="19" t="s">
        <v>38</v>
      </c>
      <c r="M22" s="19" t="s">
        <v>38</v>
      </c>
      <c r="N22" s="16" t="s">
        <v>38</v>
      </c>
      <c r="O22" s="16" t="s">
        <v>38</v>
      </c>
      <c r="P22" s="16" t="s">
        <v>38</v>
      </c>
      <c r="Q22" s="16" t="s">
        <v>38</v>
      </c>
      <c r="R22" s="16" t="s">
        <v>38</v>
      </c>
      <c r="S22" s="16" t="s">
        <v>38</v>
      </c>
      <c r="T22" s="16">
        <v>0.53100000000000003</v>
      </c>
      <c r="U22" s="16">
        <v>0.53</v>
      </c>
      <c r="V22" s="16">
        <v>0.62</v>
      </c>
      <c r="W22" s="16">
        <v>0.60499999999999998</v>
      </c>
      <c r="X22" s="23">
        <v>0.70899999999999996</v>
      </c>
      <c r="Y22" s="24">
        <v>0.65200000000000002</v>
      </c>
      <c r="Z22" s="23">
        <v>0.68</v>
      </c>
      <c r="AA22" s="23">
        <v>0.67100000000000004</v>
      </c>
      <c r="AB22" s="23">
        <v>0.621</v>
      </c>
      <c r="AC22" s="24">
        <v>0.622</v>
      </c>
      <c r="AD22" s="16">
        <v>0.56299999999999994</v>
      </c>
      <c r="AE22" s="16">
        <v>0.57599999999999996</v>
      </c>
      <c r="AF22" s="16">
        <v>0.38900000000000001</v>
      </c>
      <c r="AG22" s="16">
        <v>0.38300000000000001</v>
      </c>
      <c r="AH22" s="16">
        <v>0.35</v>
      </c>
      <c r="AI22" s="16">
        <v>0.34899999999999998</v>
      </c>
      <c r="AJ22" s="16">
        <v>0.40200000000000002</v>
      </c>
      <c r="AK22" s="16">
        <v>0.32600000000000001</v>
      </c>
      <c r="AL22" s="16">
        <v>0.53600000000000003</v>
      </c>
      <c r="AM22" s="16">
        <v>0.65800000000000003</v>
      </c>
      <c r="AN22" s="40">
        <v>0.41799999999999998</v>
      </c>
      <c r="AO22" s="40">
        <v>0.309</v>
      </c>
      <c r="AP22" s="40">
        <v>0.30399999999999999</v>
      </c>
      <c r="AQ22" s="40">
        <v>0.42699999999999999</v>
      </c>
      <c r="AR22" s="40">
        <v>0.38600000000000001</v>
      </c>
      <c r="AS22" s="40">
        <v>0.4</v>
      </c>
      <c r="AT22" s="40">
        <v>0.371</v>
      </c>
      <c r="AU22" s="40">
        <v>0.38400000000000001</v>
      </c>
      <c r="AV22" s="40">
        <v>0.35099999999999998</v>
      </c>
      <c r="AW22" s="40">
        <v>0.318</v>
      </c>
      <c r="AX22" s="40">
        <v>0.29699999999999999</v>
      </c>
      <c r="AY22" s="40">
        <v>0.31</v>
      </c>
      <c r="AZ22" s="40">
        <v>0.34599999999999997</v>
      </c>
      <c r="BA22" s="40">
        <v>0.35799999999999998</v>
      </c>
      <c r="BB22" s="49">
        <v>0.23599999999999999</v>
      </c>
      <c r="BC22" s="40">
        <v>0.34849999999999998</v>
      </c>
      <c r="BD22" s="19" t="s">
        <v>38</v>
      </c>
      <c r="BE22" s="19" t="s">
        <v>38</v>
      </c>
      <c r="BF22" s="19" t="s">
        <v>38</v>
      </c>
      <c r="BG22" s="40">
        <v>0.47949999999999998</v>
      </c>
      <c r="BH22" s="38">
        <v>0.372</v>
      </c>
      <c r="BI22" s="38">
        <v>0.41349999999999998</v>
      </c>
      <c r="BJ22" s="38">
        <v>0.3805</v>
      </c>
      <c r="BK22" s="38">
        <v>0.36599999999999999</v>
      </c>
      <c r="BL22" s="38">
        <v>0.375</v>
      </c>
      <c r="BM22" s="38">
        <v>0.41649999999999998</v>
      </c>
      <c r="BN22" s="19" t="s">
        <v>38</v>
      </c>
      <c r="BO22" s="40">
        <v>0.39550000000000002</v>
      </c>
      <c r="BP22" s="38">
        <v>0.38550000000000001</v>
      </c>
      <c r="BQ22" s="19" t="s">
        <v>38</v>
      </c>
      <c r="BR22" s="19" t="s">
        <v>38</v>
      </c>
      <c r="BS22" s="19" t="s">
        <v>38</v>
      </c>
      <c r="BT22" s="19" t="s">
        <v>38</v>
      </c>
      <c r="BU22" s="19" t="s">
        <v>38</v>
      </c>
      <c r="BV22" s="19" t="s">
        <v>38</v>
      </c>
      <c r="BW22" s="19" t="s">
        <v>38</v>
      </c>
      <c r="BX22" s="19" t="s">
        <v>38</v>
      </c>
      <c r="BY22" s="85">
        <f>(0.412+0.397)/2</f>
        <v>0.40449999999999997</v>
      </c>
      <c r="BZ22" s="85">
        <f>(0.371+0.377)/2</f>
        <v>0.374</v>
      </c>
      <c r="CA22" s="86">
        <v>0.53600000000000003</v>
      </c>
    </row>
    <row r="23" spans="1:79">
      <c r="A23" s="60">
        <v>12</v>
      </c>
      <c r="B23" s="82">
        <v>254378.35348799999</v>
      </c>
      <c r="C23" s="82">
        <v>4505539.32706</v>
      </c>
      <c r="D23" s="19" t="s">
        <v>38</v>
      </c>
      <c r="E23" s="19">
        <v>0.35649999999999998</v>
      </c>
      <c r="F23" s="19">
        <v>0.36249999999999999</v>
      </c>
      <c r="G23" s="19">
        <v>0.35199999999999998</v>
      </c>
      <c r="H23" s="19">
        <v>0.38450000000000001</v>
      </c>
      <c r="I23" s="19">
        <v>0.27900000000000003</v>
      </c>
      <c r="J23" s="19">
        <v>0.26400000000000001</v>
      </c>
      <c r="K23" s="19">
        <v>0.2195</v>
      </c>
      <c r="L23" s="19">
        <v>0.23899999999999999</v>
      </c>
      <c r="M23" s="19">
        <v>0.2155</v>
      </c>
      <c r="N23" s="16">
        <v>0.215</v>
      </c>
      <c r="O23" s="16">
        <v>0.20749999999999999</v>
      </c>
      <c r="P23" s="16">
        <v>0.223</v>
      </c>
      <c r="Q23" s="16">
        <v>0.2495</v>
      </c>
      <c r="R23" s="16">
        <v>0.28400000000000003</v>
      </c>
      <c r="S23" s="16">
        <v>0.29699999999999999</v>
      </c>
      <c r="T23" s="16">
        <v>0.41499999999999998</v>
      </c>
      <c r="U23" s="16">
        <v>0.40400000000000003</v>
      </c>
      <c r="V23" s="16">
        <v>0.434</v>
      </c>
      <c r="W23" s="16">
        <v>0.42899999999999999</v>
      </c>
      <c r="X23" s="23">
        <v>0.433</v>
      </c>
      <c r="Y23" s="24">
        <v>0.44700000000000001</v>
      </c>
      <c r="Z23" s="23">
        <v>0.42699999999999999</v>
      </c>
      <c r="AA23" s="23">
        <v>0.43</v>
      </c>
      <c r="AB23" s="23">
        <v>0.42199999999999999</v>
      </c>
      <c r="AC23" s="24">
        <v>0.28899999999999998</v>
      </c>
      <c r="AD23" s="16">
        <v>0.442</v>
      </c>
      <c r="AE23" s="16">
        <v>0.40799999999999997</v>
      </c>
      <c r="AF23" s="16">
        <v>0.26400000000000001</v>
      </c>
      <c r="AG23" s="16">
        <v>0.26500000000000001</v>
      </c>
      <c r="AH23" s="16">
        <v>0.249</v>
      </c>
      <c r="AI23" s="16">
        <v>0.24399999999999999</v>
      </c>
      <c r="AJ23" s="16">
        <v>0.24099999999999999</v>
      </c>
      <c r="AK23" s="16">
        <v>0.27400000000000002</v>
      </c>
      <c r="AL23" s="16">
        <v>0.29399999999999998</v>
      </c>
      <c r="AM23" s="16">
        <v>0.47499999999999998</v>
      </c>
      <c r="AN23" s="40">
        <v>0.32700000000000001</v>
      </c>
      <c r="AO23" s="40">
        <v>0.25700000000000001</v>
      </c>
      <c r="AP23" s="40">
        <v>0.28899999999999998</v>
      </c>
      <c r="AQ23" s="40">
        <v>0.312</v>
      </c>
      <c r="AR23" s="40">
        <v>0.30299999999999999</v>
      </c>
      <c r="AS23" s="40">
        <v>0.29399999999999998</v>
      </c>
      <c r="AT23" s="40">
        <v>0.28999999999999998</v>
      </c>
      <c r="AU23" s="40">
        <v>0.27700000000000002</v>
      </c>
      <c r="AV23" s="40">
        <v>0.26900000000000002</v>
      </c>
      <c r="AW23" s="40">
        <v>0.23499999999999999</v>
      </c>
      <c r="AX23" s="40">
        <v>0.22800000000000001</v>
      </c>
      <c r="AY23" s="40">
        <v>0.246</v>
      </c>
      <c r="AZ23" s="40">
        <v>0.255</v>
      </c>
      <c r="BA23" s="40">
        <v>0.27900000000000003</v>
      </c>
      <c r="BB23" s="49" t="s">
        <v>38</v>
      </c>
      <c r="BC23" s="40">
        <v>0.24099999999999999</v>
      </c>
      <c r="BD23" s="19" t="s">
        <v>38</v>
      </c>
      <c r="BE23" s="19" t="s">
        <v>38</v>
      </c>
      <c r="BF23" s="19" t="s">
        <v>38</v>
      </c>
      <c r="BG23" s="40">
        <v>0.38600000000000001</v>
      </c>
      <c r="BH23" s="38">
        <v>0.30049999999999999</v>
      </c>
      <c r="BI23" s="38">
        <v>0.34450000000000003</v>
      </c>
      <c r="BJ23" s="38">
        <v>0.33200000000000002</v>
      </c>
      <c r="BK23" s="38">
        <v>0.33350000000000002</v>
      </c>
      <c r="BL23" s="38">
        <v>0.33</v>
      </c>
      <c r="BM23" s="38">
        <v>0.47049999999999997</v>
      </c>
      <c r="BN23" s="19" t="s">
        <v>38</v>
      </c>
      <c r="BO23" s="40">
        <v>0.34</v>
      </c>
      <c r="BP23" s="38">
        <v>0.33450000000000002</v>
      </c>
      <c r="BQ23" s="38">
        <v>0.27350000000000002</v>
      </c>
      <c r="BR23" s="41">
        <v>0.28049999999999997</v>
      </c>
      <c r="BS23" s="19" t="s">
        <v>38</v>
      </c>
      <c r="BT23" s="41">
        <v>0.27100000000000002</v>
      </c>
      <c r="BU23" s="19" t="s">
        <v>38</v>
      </c>
      <c r="BV23" s="41">
        <v>0.28599999999999998</v>
      </c>
      <c r="BW23" s="42">
        <v>0.27</v>
      </c>
      <c r="BX23" s="42">
        <v>0.26650000000000001</v>
      </c>
      <c r="BY23" s="85">
        <f>(0.41+0.419)/2</f>
        <v>0.41449999999999998</v>
      </c>
      <c r="BZ23" s="85">
        <f>(0.353+0.35)/2</f>
        <v>0.35149999999999998</v>
      </c>
      <c r="CA23" s="86">
        <v>0.48449999999999999</v>
      </c>
    </row>
    <row r="24" spans="1:79">
      <c r="A24" s="60">
        <v>13</v>
      </c>
      <c r="B24" s="82">
        <v>254394.38724800001</v>
      </c>
      <c r="C24" s="82">
        <v>4505500.7558800001</v>
      </c>
      <c r="D24" s="19" t="s">
        <v>38</v>
      </c>
      <c r="E24" s="19">
        <v>0.24299999999999999</v>
      </c>
      <c r="F24" s="19">
        <v>0.223</v>
      </c>
      <c r="G24" s="19">
        <v>0.38500000000000001</v>
      </c>
      <c r="H24" s="19">
        <v>0.18049999999999999</v>
      </c>
      <c r="I24" s="19">
        <v>0.185</v>
      </c>
      <c r="J24" s="19">
        <v>0.17949999999999999</v>
      </c>
      <c r="K24" s="19">
        <v>0.13650000000000001</v>
      </c>
      <c r="L24" s="19">
        <v>0.13600000000000001</v>
      </c>
      <c r="M24" s="19">
        <v>0.1095</v>
      </c>
      <c r="N24" s="16">
        <v>0.16200000000000001</v>
      </c>
      <c r="O24" s="16">
        <v>0.1305</v>
      </c>
      <c r="P24" s="16">
        <v>0.14600000000000002</v>
      </c>
      <c r="Q24" s="16">
        <v>0.1885</v>
      </c>
      <c r="R24" s="16" t="s">
        <v>38</v>
      </c>
      <c r="S24" s="16">
        <v>0.2235</v>
      </c>
      <c r="T24" s="16">
        <v>0.245</v>
      </c>
      <c r="U24" s="16">
        <v>0.24</v>
      </c>
      <c r="V24" s="16">
        <v>0.27400000000000002</v>
      </c>
      <c r="W24" s="16" t="s">
        <v>38</v>
      </c>
      <c r="X24" s="23">
        <v>0.17799999999999999</v>
      </c>
      <c r="Y24" s="24">
        <v>0.216</v>
      </c>
      <c r="Z24" s="23">
        <v>0.23599999999999999</v>
      </c>
      <c r="AA24" s="23">
        <v>0.23799999999999999</v>
      </c>
      <c r="AB24" s="23">
        <v>0.19</v>
      </c>
      <c r="AC24" s="24">
        <v>0.31900000000000001</v>
      </c>
      <c r="AD24" s="16">
        <v>0.245</v>
      </c>
      <c r="AE24" s="16">
        <v>0.185</v>
      </c>
      <c r="AF24" s="16">
        <v>0.193</v>
      </c>
      <c r="AG24" s="16">
        <v>0.152</v>
      </c>
      <c r="AH24" s="16">
        <v>0.17100000000000001</v>
      </c>
      <c r="AI24" s="16">
        <v>0.186</v>
      </c>
      <c r="AJ24" s="16">
        <v>0.17599999999999999</v>
      </c>
      <c r="AK24" s="16">
        <v>0.14299999999999999</v>
      </c>
      <c r="AL24" s="16">
        <v>0.36599999999999999</v>
      </c>
      <c r="AM24" s="16">
        <v>0.19700000000000001</v>
      </c>
      <c r="AN24" s="40">
        <v>0.20799999999999999</v>
      </c>
      <c r="AO24" s="40">
        <v>0.14099999999999999</v>
      </c>
      <c r="AP24" s="40">
        <v>0.20200000000000001</v>
      </c>
      <c r="AQ24" s="40">
        <v>0.23599999999999999</v>
      </c>
      <c r="AR24" s="40">
        <v>0.222</v>
      </c>
      <c r="AS24" s="40">
        <v>0.183</v>
      </c>
      <c r="AT24" s="40">
        <v>0.185</v>
      </c>
      <c r="AU24" s="40">
        <v>0.151</v>
      </c>
      <c r="AV24" s="40">
        <v>0.14899999999999999</v>
      </c>
      <c r="AW24" s="40">
        <v>0.13200000000000001</v>
      </c>
      <c r="AX24" s="40">
        <v>0.13200000000000001</v>
      </c>
      <c r="AY24" s="40">
        <v>0.27500000000000002</v>
      </c>
      <c r="AZ24" s="40">
        <v>0.215</v>
      </c>
      <c r="BA24" s="40">
        <v>0.18099999999999999</v>
      </c>
      <c r="BB24" s="49" t="s">
        <v>38</v>
      </c>
      <c r="BC24" s="40">
        <v>0.24399999999999999</v>
      </c>
      <c r="BD24" s="19" t="s">
        <v>38</v>
      </c>
      <c r="BE24" s="19" t="s">
        <v>38</v>
      </c>
      <c r="BF24" s="19" t="s">
        <v>38</v>
      </c>
      <c r="BG24" s="40">
        <v>0.19950000000000001</v>
      </c>
      <c r="BH24" s="38">
        <v>0.20300000000000001</v>
      </c>
      <c r="BI24" s="38">
        <v>0.16250000000000001</v>
      </c>
      <c r="BJ24" s="38">
        <v>0.185</v>
      </c>
      <c r="BK24" s="38">
        <v>0.1925</v>
      </c>
      <c r="BL24" s="38">
        <v>0.23449999999999999</v>
      </c>
      <c r="BM24" s="38">
        <v>0.2525</v>
      </c>
      <c r="BN24" s="19" t="s">
        <v>38</v>
      </c>
      <c r="BO24" s="40">
        <v>0.22750000000000001</v>
      </c>
      <c r="BP24" s="38">
        <v>0.16949999999999998</v>
      </c>
      <c r="BQ24" s="38">
        <v>0.17149999999999999</v>
      </c>
      <c r="BR24" s="41">
        <v>0.19450000000000001</v>
      </c>
      <c r="BS24" s="19" t="s">
        <v>38</v>
      </c>
      <c r="BT24" s="41">
        <v>0.156</v>
      </c>
      <c r="BU24" s="19" t="s">
        <v>38</v>
      </c>
      <c r="BV24" s="41">
        <v>0.126</v>
      </c>
      <c r="BW24" s="42">
        <v>0.157</v>
      </c>
      <c r="BX24" s="42">
        <v>0.16300000000000001</v>
      </c>
      <c r="BY24" s="85" t="s">
        <v>38</v>
      </c>
      <c r="BZ24" s="85">
        <f>(0.277+0.216)/2</f>
        <v>0.2465</v>
      </c>
      <c r="CA24" s="86" t="s">
        <v>38</v>
      </c>
    </row>
    <row r="25" spans="1:79">
      <c r="A25" s="60">
        <v>14</v>
      </c>
      <c r="B25" s="82">
        <v>254403.568317</v>
      </c>
      <c r="C25" s="82">
        <v>4505486.8415299999</v>
      </c>
      <c r="D25" s="19" t="s">
        <v>38</v>
      </c>
      <c r="E25" s="19" t="s">
        <v>38</v>
      </c>
      <c r="F25" s="19" t="s">
        <v>38</v>
      </c>
      <c r="G25" s="19" t="s">
        <v>38</v>
      </c>
      <c r="H25" s="19" t="s">
        <v>38</v>
      </c>
      <c r="I25" s="19" t="s">
        <v>38</v>
      </c>
      <c r="J25" s="19" t="s">
        <v>38</v>
      </c>
      <c r="K25" s="19" t="s">
        <v>38</v>
      </c>
      <c r="L25" s="19" t="s">
        <v>38</v>
      </c>
      <c r="M25" s="19" t="s">
        <v>38</v>
      </c>
      <c r="N25" s="23" t="s">
        <v>38</v>
      </c>
      <c r="O25" s="23" t="s">
        <v>38</v>
      </c>
      <c r="P25" s="23" t="s">
        <v>38</v>
      </c>
      <c r="Q25" s="23" t="s">
        <v>38</v>
      </c>
      <c r="R25" s="23" t="s">
        <v>38</v>
      </c>
      <c r="S25" s="23" t="s">
        <v>38</v>
      </c>
      <c r="T25" s="19" t="s">
        <v>38</v>
      </c>
      <c r="U25" s="19" t="s">
        <v>38</v>
      </c>
      <c r="V25" s="19" t="s">
        <v>38</v>
      </c>
      <c r="W25" s="19" t="s">
        <v>38</v>
      </c>
      <c r="X25" s="19" t="s">
        <v>38</v>
      </c>
      <c r="Y25" s="19" t="s">
        <v>38</v>
      </c>
      <c r="Z25" s="19" t="s">
        <v>38</v>
      </c>
      <c r="AA25" s="19" t="s">
        <v>38</v>
      </c>
      <c r="AB25" s="19" t="s">
        <v>38</v>
      </c>
      <c r="AC25" s="19" t="s">
        <v>38</v>
      </c>
      <c r="AD25" s="19" t="s">
        <v>38</v>
      </c>
      <c r="AE25" s="19" t="s">
        <v>38</v>
      </c>
      <c r="AF25" s="19" t="s">
        <v>38</v>
      </c>
      <c r="AG25" s="19" t="s">
        <v>38</v>
      </c>
      <c r="AH25" s="19" t="s">
        <v>38</v>
      </c>
      <c r="AI25" s="19" t="s">
        <v>38</v>
      </c>
      <c r="AJ25" s="19" t="s">
        <v>38</v>
      </c>
      <c r="AK25" s="19" t="s">
        <v>38</v>
      </c>
      <c r="AL25" s="19" t="s">
        <v>38</v>
      </c>
      <c r="AM25" s="19" t="s">
        <v>38</v>
      </c>
      <c r="AN25" s="19" t="s">
        <v>38</v>
      </c>
      <c r="AO25" s="19" t="s">
        <v>38</v>
      </c>
      <c r="AP25" s="19" t="s">
        <v>38</v>
      </c>
      <c r="AQ25" s="19" t="s">
        <v>38</v>
      </c>
      <c r="AR25" s="19" t="s">
        <v>38</v>
      </c>
      <c r="AS25" s="19" t="s">
        <v>38</v>
      </c>
      <c r="AT25" s="19" t="s">
        <v>38</v>
      </c>
      <c r="AU25" s="19" t="s">
        <v>38</v>
      </c>
      <c r="AV25" s="19" t="s">
        <v>38</v>
      </c>
      <c r="AW25" s="19" t="s">
        <v>38</v>
      </c>
      <c r="AX25" s="19" t="s">
        <v>38</v>
      </c>
      <c r="AY25" s="19" t="s">
        <v>38</v>
      </c>
      <c r="AZ25" s="19" t="s">
        <v>38</v>
      </c>
      <c r="BA25" s="19" t="s">
        <v>38</v>
      </c>
      <c r="BB25" s="49" t="s">
        <v>38</v>
      </c>
      <c r="BC25" s="49" t="s">
        <v>38</v>
      </c>
      <c r="BD25" s="49" t="s">
        <v>38</v>
      </c>
      <c r="BE25" s="49" t="s">
        <v>38</v>
      </c>
      <c r="BF25" s="49" t="s">
        <v>38</v>
      </c>
      <c r="BG25" s="49" t="s">
        <v>38</v>
      </c>
      <c r="BH25" s="49" t="s">
        <v>38</v>
      </c>
      <c r="BI25" s="49" t="s">
        <v>38</v>
      </c>
      <c r="BJ25" s="49" t="s">
        <v>38</v>
      </c>
      <c r="BK25" s="49" t="s">
        <v>38</v>
      </c>
      <c r="BL25" s="49" t="s">
        <v>38</v>
      </c>
      <c r="BM25" s="49" t="s">
        <v>38</v>
      </c>
      <c r="BN25" s="49" t="s">
        <v>38</v>
      </c>
      <c r="BO25" s="49" t="s">
        <v>38</v>
      </c>
      <c r="BP25" s="49" t="s">
        <v>38</v>
      </c>
      <c r="BQ25" s="49" t="s">
        <v>38</v>
      </c>
      <c r="BR25" s="49" t="s">
        <v>38</v>
      </c>
      <c r="BS25" s="49" t="s">
        <v>38</v>
      </c>
      <c r="BT25" s="49" t="s">
        <v>38</v>
      </c>
      <c r="BU25" s="49" t="s">
        <v>38</v>
      </c>
      <c r="BV25" s="49" t="s">
        <v>38</v>
      </c>
      <c r="BW25" s="49" t="s">
        <v>38</v>
      </c>
      <c r="BX25" s="49" t="s">
        <v>38</v>
      </c>
      <c r="BY25" s="85" t="s">
        <v>38</v>
      </c>
      <c r="BZ25" s="85" t="s">
        <v>38</v>
      </c>
      <c r="CA25" s="86" t="s">
        <v>38</v>
      </c>
    </row>
    <row r="26" spans="1:79">
      <c r="A26" s="60">
        <v>15</v>
      </c>
      <c r="B26" s="82">
        <v>254457.11685300001</v>
      </c>
      <c r="C26" s="82">
        <v>4505584.8307699999</v>
      </c>
      <c r="D26" s="19">
        <v>0.3105</v>
      </c>
      <c r="E26" s="19">
        <v>0.32800000000000001</v>
      </c>
      <c r="F26" s="19">
        <v>0.34499999999999997</v>
      </c>
      <c r="G26" s="19">
        <v>0.35899999999999999</v>
      </c>
      <c r="H26" s="19" t="s">
        <v>38</v>
      </c>
      <c r="I26" s="19">
        <v>0.30399999999999999</v>
      </c>
      <c r="J26" s="19">
        <v>0.30349999999999999</v>
      </c>
      <c r="K26" s="19">
        <v>0.254</v>
      </c>
      <c r="L26" s="19" t="s">
        <v>38</v>
      </c>
      <c r="M26" s="19" t="s">
        <v>38</v>
      </c>
      <c r="N26" s="16" t="s">
        <v>38</v>
      </c>
      <c r="O26" s="16">
        <v>0.23</v>
      </c>
      <c r="P26" s="16" t="s">
        <v>38</v>
      </c>
      <c r="Q26" s="16" t="s">
        <v>38</v>
      </c>
      <c r="R26" s="16" t="s">
        <v>38</v>
      </c>
      <c r="S26" s="16" t="s">
        <v>38</v>
      </c>
      <c r="T26" s="23">
        <v>0.46700000000000003</v>
      </c>
      <c r="U26" s="23">
        <v>0.46300000000000002</v>
      </c>
      <c r="V26" s="23">
        <v>0.502</v>
      </c>
      <c r="W26" s="23">
        <v>0.55100000000000005</v>
      </c>
      <c r="X26" s="23">
        <v>0.47399999999999998</v>
      </c>
      <c r="Y26" s="24">
        <v>0.47599999999999998</v>
      </c>
      <c r="Z26" s="23">
        <v>0.49399999999999999</v>
      </c>
      <c r="AA26" s="23">
        <v>0.501</v>
      </c>
      <c r="AB26" s="23">
        <v>0.505</v>
      </c>
      <c r="AC26" s="24">
        <v>0.56299999999999994</v>
      </c>
      <c r="AD26" s="16">
        <v>0.377</v>
      </c>
      <c r="AE26" s="16">
        <v>0.374</v>
      </c>
      <c r="AF26" s="16">
        <v>0.41099999999999998</v>
      </c>
      <c r="AG26" s="16">
        <v>0.30299999999999999</v>
      </c>
      <c r="AH26" s="16">
        <v>0.28899999999999998</v>
      </c>
      <c r="AI26" s="16">
        <v>0.32500000000000001</v>
      </c>
      <c r="AJ26" s="16">
        <v>0.27400000000000002</v>
      </c>
      <c r="AK26" s="16">
        <v>0.27900000000000003</v>
      </c>
      <c r="AL26" s="16">
        <v>0.39100000000000001</v>
      </c>
      <c r="AM26" s="16">
        <v>0.45200000000000001</v>
      </c>
      <c r="AN26" s="40">
        <v>0.39200000000000002</v>
      </c>
      <c r="AO26" s="40">
        <v>0.32400000000000001</v>
      </c>
      <c r="AP26" s="40">
        <v>0.27800000000000002</v>
      </c>
      <c r="AQ26" s="40">
        <v>0.36199999999999999</v>
      </c>
      <c r="AR26" s="40">
        <v>0.33100000000000002</v>
      </c>
      <c r="AS26" s="40">
        <v>0.317</v>
      </c>
      <c r="AT26" s="19" t="s">
        <v>38</v>
      </c>
      <c r="AU26" s="40">
        <v>0.29199999999999998</v>
      </c>
      <c r="AV26" s="40" t="s">
        <v>38</v>
      </c>
      <c r="AW26" s="40">
        <v>0.249</v>
      </c>
      <c r="AX26" s="40">
        <v>0.23300000000000001</v>
      </c>
      <c r="AY26" s="40">
        <v>0.27100000000000002</v>
      </c>
      <c r="AZ26" s="40">
        <v>0.26700000000000002</v>
      </c>
      <c r="BA26" s="40">
        <v>0.34200000000000003</v>
      </c>
      <c r="BB26" s="49">
        <v>0.30099999999999999</v>
      </c>
      <c r="BC26" s="40">
        <v>0.29049999999999998</v>
      </c>
      <c r="BD26" s="49" t="s">
        <v>38</v>
      </c>
      <c r="BE26" s="50">
        <v>0.32900000000000001</v>
      </c>
      <c r="BF26" s="50">
        <v>0.318</v>
      </c>
      <c r="BG26" s="40">
        <v>0.38250000000000001</v>
      </c>
      <c r="BH26" s="38">
        <v>0.32300000000000001</v>
      </c>
      <c r="BI26" s="38">
        <v>0.34699999999999998</v>
      </c>
      <c r="BJ26" s="38">
        <v>0.377</v>
      </c>
      <c r="BK26" s="38">
        <v>0.34</v>
      </c>
      <c r="BL26" s="38">
        <v>0.30299999999999999</v>
      </c>
      <c r="BM26" s="38">
        <v>0.32200000000000001</v>
      </c>
      <c r="BN26" s="40">
        <v>0.33050000000000002</v>
      </c>
      <c r="BO26" s="40">
        <v>0.36499999999999999</v>
      </c>
      <c r="BP26" s="38">
        <v>0.32850000000000001</v>
      </c>
      <c r="BQ26" s="38">
        <v>0.3145</v>
      </c>
      <c r="BR26" s="41">
        <v>0.32550000000000001</v>
      </c>
      <c r="BS26" s="41">
        <v>0.3075</v>
      </c>
      <c r="BT26" s="41">
        <v>0.30249999999999999</v>
      </c>
      <c r="BU26" s="42">
        <v>0.30349999999999999</v>
      </c>
      <c r="BV26" s="41">
        <v>0.27</v>
      </c>
      <c r="BW26" s="42">
        <v>0.32450000000000001</v>
      </c>
      <c r="BX26" s="42" t="s">
        <v>38</v>
      </c>
      <c r="BY26" s="85">
        <f>(0.33+0.331)/2</f>
        <v>0.33050000000000002</v>
      </c>
      <c r="BZ26" s="85">
        <f>(0.335+0.329)/2</f>
        <v>0.33200000000000002</v>
      </c>
      <c r="CA26" s="86">
        <v>0.46150000000000002</v>
      </c>
    </row>
    <row r="27" spans="1:79">
      <c r="A27" s="60" t="s">
        <v>10</v>
      </c>
      <c r="B27" s="82">
        <v>254458.34024699999</v>
      </c>
      <c r="C27" s="82">
        <v>4505584.0551300002</v>
      </c>
      <c r="D27" s="19">
        <v>0.24399999999999999</v>
      </c>
      <c r="E27" s="19">
        <v>0.435</v>
      </c>
      <c r="F27" s="19">
        <v>0.25600000000000001</v>
      </c>
      <c r="G27" s="19">
        <v>0.40649999999999997</v>
      </c>
      <c r="H27" s="19">
        <v>0.39649999999999996</v>
      </c>
      <c r="I27" s="19">
        <v>0.23949999999999999</v>
      </c>
      <c r="J27" s="19">
        <v>0.252</v>
      </c>
      <c r="K27" s="19">
        <v>0.19850000000000001</v>
      </c>
      <c r="L27" s="19">
        <v>0.222</v>
      </c>
      <c r="M27" s="19">
        <v>0.1895</v>
      </c>
      <c r="N27" s="16">
        <v>0.21150000000000002</v>
      </c>
      <c r="O27" s="16">
        <v>0.17349999999999999</v>
      </c>
      <c r="P27" s="16">
        <v>0.17949999999999999</v>
      </c>
      <c r="Q27" s="16">
        <v>0.248</v>
      </c>
      <c r="R27" s="16">
        <v>0.26550000000000001</v>
      </c>
      <c r="S27" s="16">
        <v>0.20649999999999999</v>
      </c>
      <c r="T27" s="16">
        <v>0.48899999999999999</v>
      </c>
      <c r="U27" s="16">
        <v>0.308</v>
      </c>
      <c r="V27" s="16">
        <v>0.45100000000000001</v>
      </c>
      <c r="W27" s="16">
        <v>0.56499999999999995</v>
      </c>
      <c r="X27" s="23">
        <v>0.313</v>
      </c>
      <c r="Y27" s="24" t="s">
        <v>38</v>
      </c>
      <c r="Z27" s="23">
        <v>0.495</v>
      </c>
      <c r="AA27" s="23">
        <v>0.49</v>
      </c>
      <c r="AB27" s="23">
        <v>0.49099999999999999</v>
      </c>
      <c r="AC27" s="24">
        <v>0.48399999999999999</v>
      </c>
      <c r="AD27" s="16">
        <v>0.26</v>
      </c>
      <c r="AE27" s="16" t="s">
        <v>38</v>
      </c>
      <c r="AF27" s="16">
        <v>0.24399999999999999</v>
      </c>
      <c r="AG27" s="16">
        <v>0.22500000000000001</v>
      </c>
      <c r="AH27" s="16">
        <v>0.22500000000000001</v>
      </c>
      <c r="AI27" s="16">
        <v>0.183</v>
      </c>
      <c r="AJ27" s="16" t="s">
        <v>38</v>
      </c>
      <c r="AK27" s="16">
        <v>0.21</v>
      </c>
      <c r="AL27" s="16" t="s">
        <v>38</v>
      </c>
      <c r="AM27" s="16">
        <v>0.432</v>
      </c>
      <c r="AN27" s="40">
        <v>0.376</v>
      </c>
      <c r="AO27" s="40" t="s">
        <v>38</v>
      </c>
      <c r="AP27" s="40" t="s">
        <v>38</v>
      </c>
      <c r="AQ27" s="40">
        <v>0.16</v>
      </c>
      <c r="AR27" s="40" t="s">
        <v>38</v>
      </c>
      <c r="AS27" s="40">
        <v>0.26800000000000002</v>
      </c>
      <c r="AT27" s="19" t="s">
        <v>38</v>
      </c>
      <c r="AU27" s="40">
        <v>0.19900000000000001</v>
      </c>
      <c r="AV27" s="40" t="s">
        <v>38</v>
      </c>
      <c r="AW27" s="40" t="s">
        <v>38</v>
      </c>
      <c r="AX27" s="40" t="s">
        <v>38</v>
      </c>
      <c r="AY27" s="40">
        <v>0.255</v>
      </c>
      <c r="AZ27" s="40">
        <v>0.22600000000000001</v>
      </c>
      <c r="BA27" s="40">
        <v>0.22500000000000001</v>
      </c>
      <c r="BB27" s="49">
        <v>0.216</v>
      </c>
      <c r="BC27" s="40">
        <v>0.27049999999999996</v>
      </c>
      <c r="BD27" s="49" t="s">
        <v>38</v>
      </c>
      <c r="BE27" s="50">
        <v>0.24399999999999999</v>
      </c>
      <c r="BF27" s="50">
        <v>0.23600000000000002</v>
      </c>
      <c r="BG27" s="40">
        <v>0.437</v>
      </c>
      <c r="BH27" s="38" t="s">
        <v>38</v>
      </c>
      <c r="BI27" s="38" t="s">
        <v>38</v>
      </c>
      <c r="BJ27" s="39" t="s">
        <v>38</v>
      </c>
      <c r="BK27" s="38">
        <v>0.44600000000000001</v>
      </c>
      <c r="BL27" s="38">
        <v>0.23150000000000001</v>
      </c>
      <c r="BM27" s="39" t="s">
        <v>38</v>
      </c>
      <c r="BN27" s="39" t="s">
        <v>38</v>
      </c>
      <c r="BO27" s="39" t="s">
        <v>38</v>
      </c>
      <c r="BP27" s="39" t="s">
        <v>38</v>
      </c>
      <c r="BQ27" s="38">
        <v>0.21099999999999999</v>
      </c>
      <c r="BR27" s="41">
        <v>0.22750000000000001</v>
      </c>
      <c r="BS27" s="41">
        <v>0.246</v>
      </c>
      <c r="BT27" s="41">
        <v>0.23450000000000001</v>
      </c>
      <c r="BU27" s="42">
        <v>0.22900000000000001</v>
      </c>
      <c r="BV27" s="41" t="s">
        <v>38</v>
      </c>
      <c r="BW27" s="42">
        <v>0.23499999999999999</v>
      </c>
      <c r="BX27" s="42">
        <v>0.25600000000000001</v>
      </c>
      <c r="BY27" s="85">
        <f>(0.406+0.403)/2</f>
        <v>0.40450000000000003</v>
      </c>
      <c r="BZ27" s="85">
        <f>(0.39+0.388)/2</f>
        <v>0.38900000000000001</v>
      </c>
      <c r="CA27" s="86">
        <v>0.51049999999999995</v>
      </c>
    </row>
    <row r="28" spans="1:79">
      <c r="A28" s="60" t="s">
        <v>11</v>
      </c>
      <c r="B28" s="82">
        <v>254456.479143</v>
      </c>
      <c r="C28" s="82">
        <v>4505583.56623</v>
      </c>
      <c r="D28" s="19">
        <v>0.27400000000000002</v>
      </c>
      <c r="E28" s="19">
        <v>0.28000000000000003</v>
      </c>
      <c r="F28" s="19">
        <v>0.35799999999999998</v>
      </c>
      <c r="G28" s="19">
        <v>0.31850000000000001</v>
      </c>
      <c r="H28" s="19">
        <v>0.33899999999999997</v>
      </c>
      <c r="I28" s="19">
        <v>0.28999999999999998</v>
      </c>
      <c r="J28" s="19">
        <v>0.28400000000000003</v>
      </c>
      <c r="K28" s="19">
        <v>0.252</v>
      </c>
      <c r="L28" s="19">
        <v>0.2225</v>
      </c>
      <c r="M28" s="19">
        <v>0.16949999999999998</v>
      </c>
      <c r="N28" s="16">
        <v>0.2455</v>
      </c>
      <c r="O28" s="16">
        <v>0.20899999999999999</v>
      </c>
      <c r="P28" s="16" t="s">
        <v>38</v>
      </c>
      <c r="Q28" s="16">
        <v>0.24199999999999999</v>
      </c>
      <c r="R28" s="16" t="s">
        <v>38</v>
      </c>
      <c r="S28" s="16" t="s">
        <v>38</v>
      </c>
      <c r="T28" s="16">
        <v>0.42399999999999999</v>
      </c>
      <c r="U28" s="16">
        <v>0.42</v>
      </c>
      <c r="V28" s="16">
        <v>0.40500000000000003</v>
      </c>
      <c r="W28" s="16">
        <v>0.47599999999999998</v>
      </c>
      <c r="X28" s="23">
        <v>0.41599999999999998</v>
      </c>
      <c r="Y28" s="24" t="s">
        <v>38</v>
      </c>
      <c r="Z28" s="23">
        <v>0.434</v>
      </c>
      <c r="AA28" s="23">
        <v>0.432</v>
      </c>
      <c r="AB28" s="23">
        <v>0.42</v>
      </c>
      <c r="AC28" s="24">
        <v>0.40400000000000003</v>
      </c>
      <c r="AD28" s="16">
        <v>0.38600000000000001</v>
      </c>
      <c r="AE28" s="16" t="s">
        <v>38</v>
      </c>
      <c r="AF28" s="16">
        <v>0.40100000000000002</v>
      </c>
      <c r="AG28" s="16">
        <v>0.29699999999999999</v>
      </c>
      <c r="AH28" s="16">
        <v>0.29499999999999998</v>
      </c>
      <c r="AI28" s="16">
        <v>0.311</v>
      </c>
      <c r="AJ28" s="16" t="s">
        <v>38</v>
      </c>
      <c r="AK28" s="16">
        <v>0.26400000000000001</v>
      </c>
      <c r="AL28" s="16" t="s">
        <v>38</v>
      </c>
      <c r="AM28" s="16">
        <v>0.41899999999999998</v>
      </c>
      <c r="AN28" s="40">
        <v>0.309</v>
      </c>
      <c r="AO28" s="40" t="s">
        <v>38</v>
      </c>
      <c r="AP28" s="40" t="s">
        <v>38</v>
      </c>
      <c r="AQ28" s="40">
        <v>0.35699999999999998</v>
      </c>
      <c r="AR28" s="40" t="s">
        <v>38</v>
      </c>
      <c r="AS28" s="40">
        <v>0.30099999999999999</v>
      </c>
      <c r="AT28" s="19" t="s">
        <v>38</v>
      </c>
      <c r="AU28" s="40">
        <v>0.26600000000000001</v>
      </c>
      <c r="AV28" s="40" t="s">
        <v>38</v>
      </c>
      <c r="AW28" s="40" t="s">
        <v>38</v>
      </c>
      <c r="AX28" s="40" t="s">
        <v>38</v>
      </c>
      <c r="AY28" s="40">
        <v>0.22700000000000001</v>
      </c>
      <c r="AZ28" s="40">
        <v>0.23300000000000001</v>
      </c>
      <c r="BA28" s="40">
        <v>0.28999999999999998</v>
      </c>
      <c r="BB28" s="49">
        <v>0.28300000000000003</v>
      </c>
      <c r="BC28" s="40">
        <v>0.31850000000000001</v>
      </c>
      <c r="BD28" s="49" t="s">
        <v>38</v>
      </c>
      <c r="BE28" s="50">
        <v>0.311</v>
      </c>
      <c r="BF28" s="50">
        <v>0.26600000000000001</v>
      </c>
      <c r="BG28" s="40">
        <v>0.438</v>
      </c>
      <c r="BH28" s="38" t="s">
        <v>38</v>
      </c>
      <c r="BI28" s="38" t="s">
        <v>38</v>
      </c>
      <c r="BJ28" s="39" t="s">
        <v>38</v>
      </c>
      <c r="BK28" s="38">
        <v>0.33750000000000002</v>
      </c>
      <c r="BL28" s="38">
        <v>0.311</v>
      </c>
      <c r="BM28" s="39" t="s">
        <v>38</v>
      </c>
      <c r="BN28" s="39" t="s">
        <v>38</v>
      </c>
      <c r="BO28" s="39" t="s">
        <v>38</v>
      </c>
      <c r="BP28" s="39" t="s">
        <v>38</v>
      </c>
      <c r="BQ28" s="38">
        <v>0.28799999999999998</v>
      </c>
      <c r="BR28" s="41">
        <v>0.314</v>
      </c>
      <c r="BS28" s="41">
        <v>0.32200000000000001</v>
      </c>
      <c r="BT28" s="41">
        <v>0.29400000000000004</v>
      </c>
      <c r="BU28" s="42">
        <v>0.28100000000000003</v>
      </c>
      <c r="BV28" s="41" t="s">
        <v>38</v>
      </c>
      <c r="BW28" s="42">
        <v>0.36</v>
      </c>
      <c r="BX28" s="42" t="s">
        <v>38</v>
      </c>
      <c r="BY28" s="85">
        <f>(0.37+0.351)/2</f>
        <v>0.36049999999999999</v>
      </c>
      <c r="BZ28" s="85">
        <f>(0.343+0.337)/2</f>
        <v>0.34</v>
      </c>
      <c r="CA28" s="86">
        <v>0.50149999999999995</v>
      </c>
    </row>
    <row r="29" spans="1:79">
      <c r="A29" s="60" t="s">
        <v>12</v>
      </c>
      <c r="B29" s="82">
        <v>254455.93775099999</v>
      </c>
      <c r="C29" s="82">
        <v>4505585.4930299995</v>
      </c>
      <c r="D29" s="19">
        <v>0.3165</v>
      </c>
      <c r="E29" s="19">
        <v>0.35249999999999998</v>
      </c>
      <c r="F29" s="19">
        <v>0.39950000000000002</v>
      </c>
      <c r="G29" s="19">
        <v>0.39350000000000002</v>
      </c>
      <c r="H29" s="19">
        <v>0.36899999999999999</v>
      </c>
      <c r="I29" s="19">
        <v>0.32100000000000001</v>
      </c>
      <c r="J29" s="19">
        <v>0.30599999999999999</v>
      </c>
      <c r="K29" s="19">
        <v>0.249</v>
      </c>
      <c r="L29" s="19">
        <v>0.25700000000000001</v>
      </c>
      <c r="M29" s="19">
        <v>0.22750000000000001</v>
      </c>
      <c r="N29" s="16">
        <v>0.23449999999999999</v>
      </c>
      <c r="O29" s="16">
        <v>0.2155</v>
      </c>
      <c r="P29" s="16" t="s">
        <v>38</v>
      </c>
      <c r="Q29" s="16">
        <v>0.30049999999999999</v>
      </c>
      <c r="R29" s="16" t="s">
        <v>38</v>
      </c>
      <c r="S29" s="16" t="s">
        <v>38</v>
      </c>
      <c r="T29" s="16">
        <v>0.42699999999999999</v>
      </c>
      <c r="U29" s="16">
        <v>0.41899999999999998</v>
      </c>
      <c r="V29" s="16">
        <v>0.437</v>
      </c>
      <c r="W29" s="16">
        <v>0.443</v>
      </c>
      <c r="X29" s="23">
        <v>0.45100000000000001</v>
      </c>
      <c r="Y29" s="24" t="s">
        <v>38</v>
      </c>
      <c r="Z29" s="23">
        <v>0.443</v>
      </c>
      <c r="AA29" s="23">
        <v>0.45200000000000001</v>
      </c>
      <c r="AB29" s="23">
        <v>0.46500000000000002</v>
      </c>
      <c r="AC29" s="24">
        <v>0.47499999999999998</v>
      </c>
      <c r="AD29" s="16">
        <v>0.41299999999999998</v>
      </c>
      <c r="AE29" s="16" t="s">
        <v>38</v>
      </c>
      <c r="AF29" s="16">
        <v>0.311</v>
      </c>
      <c r="AG29" s="16">
        <v>0.27800000000000002</v>
      </c>
      <c r="AH29" s="16">
        <v>0.25600000000000001</v>
      </c>
      <c r="AI29" s="16">
        <v>0.27900000000000003</v>
      </c>
      <c r="AJ29" s="16" t="s">
        <v>38</v>
      </c>
      <c r="AK29" s="16">
        <v>0.26700000000000002</v>
      </c>
      <c r="AL29" s="16" t="s">
        <v>38</v>
      </c>
      <c r="AM29" s="16">
        <v>0.46500000000000002</v>
      </c>
      <c r="AN29" s="40">
        <v>0.32900000000000001</v>
      </c>
      <c r="AO29" s="40" t="s">
        <v>38</v>
      </c>
      <c r="AP29" s="40" t="s">
        <v>38</v>
      </c>
      <c r="AQ29" s="40">
        <v>0.33400000000000002</v>
      </c>
      <c r="AR29" s="40" t="s">
        <v>38</v>
      </c>
      <c r="AS29" s="40">
        <v>0.35</v>
      </c>
      <c r="AT29" s="19" t="s">
        <v>38</v>
      </c>
      <c r="AU29" s="40">
        <v>0.29199999999999998</v>
      </c>
      <c r="AV29" s="40" t="s">
        <v>38</v>
      </c>
      <c r="AW29" s="40" t="s">
        <v>38</v>
      </c>
      <c r="AX29" s="40" t="s">
        <v>38</v>
      </c>
      <c r="AY29" s="40">
        <v>0.223</v>
      </c>
      <c r="AZ29" s="40">
        <v>0.24199999999999999</v>
      </c>
      <c r="BA29" s="40">
        <v>0.32400000000000001</v>
      </c>
      <c r="BB29" s="49">
        <v>0.32300000000000001</v>
      </c>
      <c r="BC29" s="40">
        <v>0.33300000000000002</v>
      </c>
      <c r="BD29" s="49" t="s">
        <v>38</v>
      </c>
      <c r="BE29" s="50">
        <v>0.34299999999999997</v>
      </c>
      <c r="BF29" s="50">
        <v>0.26650000000000001</v>
      </c>
      <c r="BG29" s="40">
        <v>0.4325</v>
      </c>
      <c r="BH29" s="38" t="s">
        <v>38</v>
      </c>
      <c r="BI29" s="38" t="s">
        <v>38</v>
      </c>
      <c r="BJ29" s="39" t="s">
        <v>38</v>
      </c>
      <c r="BK29" s="38">
        <v>0.38700000000000001</v>
      </c>
      <c r="BL29" s="38">
        <v>0.36549999999999999</v>
      </c>
      <c r="BM29" s="39" t="s">
        <v>38</v>
      </c>
      <c r="BN29" s="39" t="s">
        <v>38</v>
      </c>
      <c r="BO29" s="39" t="s">
        <v>38</v>
      </c>
      <c r="BP29" s="39" t="s">
        <v>38</v>
      </c>
      <c r="BQ29" s="38">
        <v>0.33250000000000002</v>
      </c>
      <c r="BR29" s="41">
        <v>0.33250000000000002</v>
      </c>
      <c r="BS29" s="41">
        <v>0.34</v>
      </c>
      <c r="BT29" s="41">
        <v>0.32450000000000001</v>
      </c>
      <c r="BU29" s="42">
        <v>0.30299999999999999</v>
      </c>
      <c r="BV29" s="41" t="s">
        <v>38</v>
      </c>
      <c r="BW29" s="42">
        <v>0.28649999999999998</v>
      </c>
      <c r="BX29" s="42">
        <v>0.27900000000000003</v>
      </c>
      <c r="BY29" s="85">
        <f>(0.381+0.387)/2</f>
        <v>0.38400000000000001</v>
      </c>
      <c r="BZ29" s="85">
        <f>(0.363+0.366)/2</f>
        <v>0.36449999999999999</v>
      </c>
      <c r="CA29" s="86">
        <v>0.53300000000000003</v>
      </c>
    </row>
    <row r="30" spans="1:79">
      <c r="A30" s="60" t="s">
        <v>13</v>
      </c>
      <c r="B30" s="82">
        <v>254457.878004</v>
      </c>
      <c r="C30" s="82">
        <v>4505586.0580200003</v>
      </c>
      <c r="D30" s="19">
        <v>0.33050000000000002</v>
      </c>
      <c r="E30" s="19">
        <v>0.32850000000000001</v>
      </c>
      <c r="F30" s="19">
        <v>0.33899999999999997</v>
      </c>
      <c r="G30" s="19">
        <v>0.371</v>
      </c>
      <c r="H30" s="19">
        <v>0.35949999999999999</v>
      </c>
      <c r="I30" s="19">
        <v>0.3155</v>
      </c>
      <c r="J30" s="19">
        <v>0.29649999999999999</v>
      </c>
      <c r="K30" s="19">
        <v>0.25700000000000001</v>
      </c>
      <c r="L30" s="19">
        <v>0.27050000000000002</v>
      </c>
      <c r="M30" s="19">
        <v>0.2505</v>
      </c>
      <c r="N30" s="16">
        <v>0.26</v>
      </c>
      <c r="O30" s="16">
        <v>0.24249999999999999</v>
      </c>
      <c r="P30" s="16" t="s">
        <v>38</v>
      </c>
      <c r="Q30" s="16">
        <v>0.28600000000000003</v>
      </c>
      <c r="R30" s="16" t="s">
        <v>38</v>
      </c>
      <c r="S30" s="16" t="s">
        <v>38</v>
      </c>
      <c r="T30" s="16">
        <v>0.39400000000000002</v>
      </c>
      <c r="U30" s="16">
        <v>0.40899999999999997</v>
      </c>
      <c r="V30" s="16">
        <v>0.39900000000000002</v>
      </c>
      <c r="W30" s="16">
        <v>0.436</v>
      </c>
      <c r="X30" s="23">
        <v>0.38900000000000001</v>
      </c>
      <c r="Y30" s="24" t="s">
        <v>38</v>
      </c>
      <c r="Z30" s="23">
        <v>0.41099999999999998</v>
      </c>
      <c r="AA30" s="23">
        <v>0.41599999999999998</v>
      </c>
      <c r="AB30" s="23">
        <v>0.39900000000000002</v>
      </c>
      <c r="AC30" s="24">
        <v>0.40600000000000003</v>
      </c>
      <c r="AD30" s="16">
        <v>0.60399999999999998</v>
      </c>
      <c r="AE30" s="16" t="s">
        <v>38</v>
      </c>
      <c r="AF30" s="16">
        <v>0.374</v>
      </c>
      <c r="AG30" s="16">
        <v>0.33400000000000002</v>
      </c>
      <c r="AH30" s="16">
        <v>0.26500000000000001</v>
      </c>
      <c r="AI30" s="16">
        <v>0.30299999999999999</v>
      </c>
      <c r="AJ30" s="16" t="s">
        <v>38</v>
      </c>
      <c r="AK30" s="16">
        <v>0.27900000000000003</v>
      </c>
      <c r="AL30" s="16" t="s">
        <v>38</v>
      </c>
      <c r="AM30" s="16">
        <v>0.39600000000000002</v>
      </c>
      <c r="AN30" s="40">
        <v>0.317</v>
      </c>
      <c r="AO30" s="40" t="s">
        <v>38</v>
      </c>
      <c r="AP30" s="40" t="s">
        <v>38</v>
      </c>
      <c r="AQ30" s="40">
        <v>0.27600000000000002</v>
      </c>
      <c r="AR30" s="40" t="s">
        <v>38</v>
      </c>
      <c r="AS30" s="40">
        <v>0.32300000000000001</v>
      </c>
      <c r="AT30" s="19" t="s">
        <v>38</v>
      </c>
      <c r="AU30" s="40">
        <v>0.29599999999999999</v>
      </c>
      <c r="AV30" s="40" t="s">
        <v>38</v>
      </c>
      <c r="AW30" s="40" t="s">
        <v>38</v>
      </c>
      <c r="AX30" s="40" t="s">
        <v>38</v>
      </c>
      <c r="AY30" s="40">
        <v>0.29099999999999998</v>
      </c>
      <c r="AZ30" s="40">
        <v>0.27400000000000002</v>
      </c>
      <c r="BA30" s="40">
        <v>0.32200000000000001</v>
      </c>
      <c r="BB30" s="49">
        <v>0.33150000000000002</v>
      </c>
      <c r="BC30" s="40">
        <v>0.32050000000000001</v>
      </c>
      <c r="BD30" s="49" t="s">
        <v>38</v>
      </c>
      <c r="BE30" s="50">
        <v>0.35499999999999998</v>
      </c>
      <c r="BF30" s="50">
        <v>0.26950000000000002</v>
      </c>
      <c r="BG30" s="40">
        <v>0.41049999999999998</v>
      </c>
      <c r="BH30" s="38" t="s">
        <v>38</v>
      </c>
      <c r="BI30" s="38" t="s">
        <v>38</v>
      </c>
      <c r="BJ30" s="39" t="s">
        <v>38</v>
      </c>
      <c r="BK30" s="38">
        <v>0.35399999999999998</v>
      </c>
      <c r="BL30" s="38">
        <v>0.33650000000000002</v>
      </c>
      <c r="BM30" s="39" t="s">
        <v>38</v>
      </c>
      <c r="BN30" s="39" t="s">
        <v>38</v>
      </c>
      <c r="BO30" s="39" t="s">
        <v>38</v>
      </c>
      <c r="BP30" s="39" t="s">
        <v>38</v>
      </c>
      <c r="BQ30" s="38">
        <v>0.30599999999999999</v>
      </c>
      <c r="BR30" s="41">
        <v>0.3105</v>
      </c>
      <c r="BS30" s="41">
        <v>0.3</v>
      </c>
      <c r="BT30" s="41">
        <v>0.30099999999999999</v>
      </c>
      <c r="BU30" s="42">
        <v>0.27750000000000002</v>
      </c>
      <c r="BV30" s="41" t="s">
        <v>38</v>
      </c>
      <c r="BW30" s="42">
        <v>0.33150000000000002</v>
      </c>
      <c r="BX30" s="42" t="s">
        <v>38</v>
      </c>
      <c r="BY30" s="85">
        <f>(0.398+0.389)/2</f>
        <v>0.39350000000000002</v>
      </c>
      <c r="BZ30" s="85">
        <f>(0.334+0.341)/2</f>
        <v>0.33750000000000002</v>
      </c>
      <c r="CA30" s="86">
        <v>0.48599999999999999</v>
      </c>
    </row>
    <row r="31" spans="1:79">
      <c r="A31" s="60">
        <v>22</v>
      </c>
      <c r="B31" s="82">
        <v>254501.52615300001</v>
      </c>
      <c r="C31" s="82">
        <v>4505594.6980400002</v>
      </c>
      <c r="D31" s="19" t="s">
        <v>38</v>
      </c>
      <c r="E31" s="19">
        <v>0.33500000000000002</v>
      </c>
      <c r="F31" s="19">
        <v>0.36249999999999999</v>
      </c>
      <c r="G31" s="19">
        <v>0.35</v>
      </c>
      <c r="H31" s="19">
        <v>0.3705</v>
      </c>
      <c r="I31" s="19">
        <v>0.29749999999999999</v>
      </c>
      <c r="J31" s="19">
        <v>0.28849999999999998</v>
      </c>
      <c r="K31" s="19">
        <v>0.245</v>
      </c>
      <c r="L31" s="19">
        <v>0.28499999999999998</v>
      </c>
      <c r="M31" s="19">
        <v>0.23299999999999998</v>
      </c>
      <c r="N31" s="16">
        <v>0.27300000000000002</v>
      </c>
      <c r="O31" s="16">
        <v>0.23749999999999999</v>
      </c>
      <c r="P31" s="16">
        <v>0.251</v>
      </c>
      <c r="Q31" s="16">
        <v>0.28899999999999998</v>
      </c>
      <c r="R31" s="16">
        <v>0.32950000000000002</v>
      </c>
      <c r="S31" s="16">
        <v>0.36099999999999999</v>
      </c>
      <c r="T31" s="16">
        <v>0.40200000000000002</v>
      </c>
      <c r="U31" s="16">
        <v>0.39800000000000002</v>
      </c>
      <c r="V31" s="16">
        <v>0.38400000000000001</v>
      </c>
      <c r="W31" s="16">
        <v>0.441</v>
      </c>
      <c r="X31" s="23">
        <v>0.38700000000000001</v>
      </c>
      <c r="Y31" s="24">
        <v>0.376</v>
      </c>
      <c r="Z31" s="23">
        <v>0.38</v>
      </c>
      <c r="AA31" s="23">
        <v>0.379</v>
      </c>
      <c r="AB31" s="23">
        <v>0.38400000000000001</v>
      </c>
      <c r="AC31" s="24">
        <v>0.40799999999999997</v>
      </c>
      <c r="AD31" s="16">
        <v>0.41099999999999998</v>
      </c>
      <c r="AE31" s="16">
        <v>0.34300000000000003</v>
      </c>
      <c r="AF31" s="16">
        <v>0.29799999999999999</v>
      </c>
      <c r="AG31" s="16">
        <v>0.28399999999999997</v>
      </c>
      <c r="AH31" s="16">
        <v>0.28100000000000003</v>
      </c>
      <c r="AI31" s="16">
        <v>0.26400000000000001</v>
      </c>
      <c r="AJ31" s="16">
        <v>0.29499999999999998</v>
      </c>
      <c r="AK31" s="16">
        <v>0.27700000000000002</v>
      </c>
      <c r="AL31" s="16">
        <v>0.46200000000000002</v>
      </c>
      <c r="AM31" s="16">
        <v>0.438</v>
      </c>
      <c r="AN31" s="40">
        <v>0.32</v>
      </c>
      <c r="AO31" s="40">
        <v>0.26400000000000001</v>
      </c>
      <c r="AP31" s="40">
        <v>0.34599999999999997</v>
      </c>
      <c r="AQ31" s="40">
        <v>0.35799999999999998</v>
      </c>
      <c r="AR31" s="40">
        <v>0.33500000000000002</v>
      </c>
      <c r="AS31" s="40">
        <v>0.35199999999999998</v>
      </c>
      <c r="AT31" s="40">
        <v>0.33400000000000002</v>
      </c>
      <c r="AU31" s="40">
        <v>0.315</v>
      </c>
      <c r="AV31" s="40">
        <v>0.30299999999999999</v>
      </c>
      <c r="AW31" s="40">
        <v>0.29399999999999998</v>
      </c>
      <c r="AX31" s="40" t="s">
        <v>38</v>
      </c>
      <c r="AY31" s="40">
        <v>0.33800000000000002</v>
      </c>
      <c r="AZ31" s="40">
        <v>0.32900000000000001</v>
      </c>
      <c r="BA31" s="40">
        <v>0.318</v>
      </c>
      <c r="BB31" s="49">
        <v>0.22600000000000001</v>
      </c>
      <c r="BC31" s="40">
        <v>0.31850000000000001</v>
      </c>
      <c r="BD31" s="49" t="s">
        <v>38</v>
      </c>
      <c r="BE31" s="49" t="s">
        <v>38</v>
      </c>
      <c r="BF31" s="49" t="s">
        <v>38</v>
      </c>
      <c r="BG31" s="40">
        <v>0.38900000000000001</v>
      </c>
      <c r="BH31" s="38">
        <v>0.31</v>
      </c>
      <c r="BI31" s="38">
        <v>0.35149999999999998</v>
      </c>
      <c r="BJ31" s="38">
        <v>0.33300000000000002</v>
      </c>
      <c r="BK31" s="38">
        <v>0.31850000000000001</v>
      </c>
      <c r="BL31" s="38">
        <v>0.33250000000000002</v>
      </c>
      <c r="BM31" s="38">
        <v>0.35950000000000004</v>
      </c>
      <c r="BN31" s="39" t="s">
        <v>38</v>
      </c>
      <c r="BO31" s="40">
        <v>0.29899999999999999</v>
      </c>
      <c r="BP31" s="38">
        <v>0.36649999999999999</v>
      </c>
      <c r="BQ31" s="38">
        <v>0.316</v>
      </c>
      <c r="BR31" s="41">
        <v>0.32900000000000001</v>
      </c>
      <c r="BS31" s="41">
        <v>0.318</v>
      </c>
      <c r="BT31" s="41">
        <v>0.29549999999999998</v>
      </c>
      <c r="BU31" s="42">
        <v>0.307</v>
      </c>
      <c r="BV31" s="41">
        <v>0.34699999999999998</v>
      </c>
      <c r="BW31" s="42">
        <v>0.36049999999999999</v>
      </c>
      <c r="BX31" s="42">
        <v>0.3175</v>
      </c>
      <c r="BY31" s="85">
        <f>(0.346+0.354)/2</f>
        <v>0.35</v>
      </c>
      <c r="BZ31" s="85">
        <f>(0.342+0.334)/2</f>
        <v>0.33800000000000002</v>
      </c>
      <c r="CA31" s="86">
        <v>0.48599999999999999</v>
      </c>
    </row>
    <row r="32" spans="1:79">
      <c r="A32" s="60">
        <v>23</v>
      </c>
      <c r="B32" s="83">
        <v>254520.12336</v>
      </c>
      <c r="C32" s="83">
        <v>4505551.7588200001</v>
      </c>
      <c r="D32" s="19" t="s">
        <v>38</v>
      </c>
      <c r="E32" s="19" t="s">
        <v>38</v>
      </c>
      <c r="F32" s="19" t="s">
        <v>38</v>
      </c>
      <c r="G32" s="19" t="s">
        <v>38</v>
      </c>
      <c r="H32" s="19" t="s">
        <v>38</v>
      </c>
      <c r="I32" s="19" t="s">
        <v>38</v>
      </c>
      <c r="J32" s="19" t="s">
        <v>38</v>
      </c>
      <c r="K32" s="19" t="s">
        <v>38</v>
      </c>
      <c r="L32" s="19" t="s">
        <v>38</v>
      </c>
      <c r="M32" s="19" t="s">
        <v>38</v>
      </c>
      <c r="N32" s="23" t="s">
        <v>38</v>
      </c>
      <c r="O32" s="23" t="s">
        <v>38</v>
      </c>
      <c r="P32" s="23" t="s">
        <v>38</v>
      </c>
      <c r="Q32" s="23" t="s">
        <v>38</v>
      </c>
      <c r="R32" s="23" t="s">
        <v>38</v>
      </c>
      <c r="S32" s="23" t="s">
        <v>38</v>
      </c>
      <c r="T32" s="19" t="s">
        <v>38</v>
      </c>
      <c r="U32" s="19" t="s">
        <v>38</v>
      </c>
      <c r="V32" s="19" t="s">
        <v>38</v>
      </c>
      <c r="W32" s="19" t="s">
        <v>38</v>
      </c>
      <c r="X32" s="19" t="s">
        <v>38</v>
      </c>
      <c r="Y32" s="19" t="s">
        <v>38</v>
      </c>
      <c r="Z32" s="19" t="s">
        <v>38</v>
      </c>
      <c r="AA32" s="19" t="s">
        <v>38</v>
      </c>
      <c r="AB32" s="19" t="s">
        <v>38</v>
      </c>
      <c r="AC32" s="19" t="s">
        <v>38</v>
      </c>
      <c r="AD32" s="19" t="s">
        <v>38</v>
      </c>
      <c r="AE32" s="19" t="s">
        <v>38</v>
      </c>
      <c r="AF32" s="19" t="s">
        <v>38</v>
      </c>
      <c r="AG32" s="19" t="s">
        <v>38</v>
      </c>
      <c r="AH32" s="19" t="s">
        <v>38</v>
      </c>
      <c r="AI32" s="19" t="s">
        <v>38</v>
      </c>
      <c r="AJ32" s="19" t="s">
        <v>38</v>
      </c>
      <c r="AK32" s="19" t="s">
        <v>38</v>
      </c>
      <c r="AL32" s="19" t="s">
        <v>38</v>
      </c>
      <c r="AM32" s="19" t="s">
        <v>38</v>
      </c>
      <c r="AN32" s="19" t="s">
        <v>38</v>
      </c>
      <c r="AO32" s="19" t="s">
        <v>38</v>
      </c>
      <c r="AP32" s="19" t="s">
        <v>38</v>
      </c>
      <c r="AQ32" s="19" t="s">
        <v>38</v>
      </c>
      <c r="AR32" s="19" t="s">
        <v>38</v>
      </c>
      <c r="AS32" s="19" t="s">
        <v>38</v>
      </c>
      <c r="AT32" s="19" t="s">
        <v>38</v>
      </c>
      <c r="AU32" s="19" t="s">
        <v>38</v>
      </c>
      <c r="AV32" s="19" t="s">
        <v>38</v>
      </c>
      <c r="AW32" s="19" t="s">
        <v>38</v>
      </c>
      <c r="AX32" s="19" t="s">
        <v>38</v>
      </c>
      <c r="AY32" s="19" t="s">
        <v>38</v>
      </c>
      <c r="AZ32" s="19" t="s">
        <v>38</v>
      </c>
      <c r="BA32" s="19" t="s">
        <v>38</v>
      </c>
      <c r="BB32" s="19" t="s">
        <v>38</v>
      </c>
      <c r="BC32" s="19" t="s">
        <v>38</v>
      </c>
      <c r="BD32" s="19" t="s">
        <v>38</v>
      </c>
      <c r="BE32" s="19" t="s">
        <v>38</v>
      </c>
      <c r="BF32" s="19" t="s">
        <v>38</v>
      </c>
      <c r="BG32" s="19" t="s">
        <v>38</v>
      </c>
      <c r="BH32" s="19" t="s">
        <v>38</v>
      </c>
      <c r="BI32" s="19" t="s">
        <v>38</v>
      </c>
      <c r="BJ32" s="19" t="s">
        <v>38</v>
      </c>
      <c r="BK32" s="19" t="s">
        <v>38</v>
      </c>
      <c r="BL32" s="19" t="s">
        <v>38</v>
      </c>
      <c r="BM32" s="19" t="s">
        <v>38</v>
      </c>
      <c r="BN32" s="19" t="s">
        <v>38</v>
      </c>
      <c r="BO32" s="19" t="s">
        <v>38</v>
      </c>
      <c r="BP32" s="19" t="s">
        <v>38</v>
      </c>
      <c r="BQ32" s="19" t="s">
        <v>38</v>
      </c>
      <c r="BR32" s="19" t="s">
        <v>38</v>
      </c>
      <c r="BS32" s="19" t="s">
        <v>38</v>
      </c>
      <c r="BT32" s="19" t="s">
        <v>38</v>
      </c>
      <c r="BU32" s="19" t="s">
        <v>38</v>
      </c>
      <c r="BV32" s="19" t="s">
        <v>38</v>
      </c>
      <c r="BW32" s="19" t="s">
        <v>38</v>
      </c>
      <c r="BX32" s="19" t="s">
        <v>38</v>
      </c>
      <c r="BY32" s="69" t="s">
        <v>38</v>
      </c>
      <c r="BZ32" s="69" t="s">
        <v>38</v>
      </c>
      <c r="CA32" s="86" t="s">
        <v>38</v>
      </c>
    </row>
    <row r="33" spans="1:79">
      <c r="A33" s="60">
        <v>24</v>
      </c>
      <c r="B33" s="83">
        <v>254528.53983200001</v>
      </c>
      <c r="C33" s="83">
        <v>4505511.7527299998</v>
      </c>
      <c r="D33" s="19" t="s">
        <v>38</v>
      </c>
      <c r="E33" s="19" t="s">
        <v>38</v>
      </c>
      <c r="F33" s="19" t="s">
        <v>38</v>
      </c>
      <c r="G33" s="19" t="s">
        <v>38</v>
      </c>
      <c r="H33" s="19" t="s">
        <v>38</v>
      </c>
      <c r="I33" s="19" t="s">
        <v>38</v>
      </c>
      <c r="J33" s="19" t="s">
        <v>38</v>
      </c>
      <c r="K33" s="19" t="s">
        <v>38</v>
      </c>
      <c r="L33" s="19" t="s">
        <v>38</v>
      </c>
      <c r="M33" s="19" t="s">
        <v>38</v>
      </c>
      <c r="N33" s="23" t="s">
        <v>38</v>
      </c>
      <c r="O33" s="23" t="s">
        <v>38</v>
      </c>
      <c r="P33" s="23" t="s">
        <v>38</v>
      </c>
      <c r="Q33" s="23" t="s">
        <v>38</v>
      </c>
      <c r="R33" s="23" t="s">
        <v>38</v>
      </c>
      <c r="S33" s="23" t="s">
        <v>38</v>
      </c>
      <c r="T33" s="19" t="s">
        <v>38</v>
      </c>
      <c r="U33" s="19" t="s">
        <v>38</v>
      </c>
      <c r="V33" s="19" t="s">
        <v>38</v>
      </c>
      <c r="W33" s="19" t="s">
        <v>38</v>
      </c>
      <c r="X33" s="19" t="s">
        <v>38</v>
      </c>
      <c r="Y33" s="19" t="s">
        <v>38</v>
      </c>
      <c r="Z33" s="19" t="s">
        <v>38</v>
      </c>
      <c r="AA33" s="19" t="s">
        <v>38</v>
      </c>
      <c r="AB33" s="19" t="s">
        <v>38</v>
      </c>
      <c r="AC33" s="19" t="s">
        <v>38</v>
      </c>
      <c r="AD33" s="19" t="s">
        <v>38</v>
      </c>
      <c r="AE33" s="19" t="s">
        <v>38</v>
      </c>
      <c r="AF33" s="19" t="s">
        <v>38</v>
      </c>
      <c r="AG33" s="19" t="s">
        <v>38</v>
      </c>
      <c r="AH33" s="19" t="s">
        <v>38</v>
      </c>
      <c r="AI33" s="19" t="s">
        <v>38</v>
      </c>
      <c r="AJ33" s="19" t="s">
        <v>38</v>
      </c>
      <c r="AK33" s="19" t="s">
        <v>38</v>
      </c>
      <c r="AL33" s="19" t="s">
        <v>38</v>
      </c>
      <c r="AM33" s="19" t="s">
        <v>38</v>
      </c>
      <c r="AN33" s="19" t="s">
        <v>38</v>
      </c>
      <c r="AO33" s="19" t="s">
        <v>38</v>
      </c>
      <c r="AP33" s="19" t="s">
        <v>38</v>
      </c>
      <c r="AQ33" s="19" t="s">
        <v>38</v>
      </c>
      <c r="AR33" s="19" t="s">
        <v>38</v>
      </c>
      <c r="AS33" s="19" t="s">
        <v>38</v>
      </c>
      <c r="AT33" s="19" t="s">
        <v>38</v>
      </c>
      <c r="AU33" s="19" t="s">
        <v>38</v>
      </c>
      <c r="AV33" s="19" t="s">
        <v>38</v>
      </c>
      <c r="AW33" s="19" t="s">
        <v>38</v>
      </c>
      <c r="AX33" s="19" t="s">
        <v>38</v>
      </c>
      <c r="AY33" s="19" t="s">
        <v>38</v>
      </c>
      <c r="AZ33" s="19" t="s">
        <v>38</v>
      </c>
      <c r="BA33" s="19" t="s">
        <v>38</v>
      </c>
      <c r="BB33" s="19" t="s">
        <v>38</v>
      </c>
      <c r="BC33" s="19" t="s">
        <v>38</v>
      </c>
      <c r="BD33" s="19" t="s">
        <v>38</v>
      </c>
      <c r="BE33" s="19" t="s">
        <v>38</v>
      </c>
      <c r="BF33" s="19" t="s">
        <v>38</v>
      </c>
      <c r="BG33" s="19" t="s">
        <v>38</v>
      </c>
      <c r="BH33" s="19" t="s">
        <v>38</v>
      </c>
      <c r="BI33" s="19" t="s">
        <v>38</v>
      </c>
      <c r="BJ33" s="19" t="s">
        <v>38</v>
      </c>
      <c r="BK33" s="19" t="s">
        <v>38</v>
      </c>
      <c r="BL33" s="19" t="s">
        <v>38</v>
      </c>
      <c r="BM33" s="19" t="s">
        <v>38</v>
      </c>
      <c r="BN33" s="19" t="s">
        <v>38</v>
      </c>
      <c r="BO33" s="19" t="s">
        <v>38</v>
      </c>
      <c r="BP33" s="19" t="s">
        <v>38</v>
      </c>
      <c r="BQ33" s="19" t="s">
        <v>38</v>
      </c>
      <c r="BR33" s="19" t="s">
        <v>38</v>
      </c>
      <c r="BS33" s="19" t="s">
        <v>38</v>
      </c>
      <c r="BT33" s="19" t="s">
        <v>38</v>
      </c>
      <c r="BU33" s="19" t="s">
        <v>38</v>
      </c>
      <c r="BV33" s="19" t="s">
        <v>38</v>
      </c>
      <c r="BW33" s="19" t="s">
        <v>38</v>
      </c>
      <c r="BX33" s="19" t="s">
        <v>38</v>
      </c>
      <c r="BY33" s="69" t="s">
        <v>38</v>
      </c>
      <c r="BZ33" s="69" t="s">
        <v>38</v>
      </c>
      <c r="CA33" s="86" t="s">
        <v>38</v>
      </c>
    </row>
    <row r="34" spans="1:79">
      <c r="A34" s="60">
        <v>25</v>
      </c>
      <c r="B34" s="83">
        <v>254506.98052099999</v>
      </c>
      <c r="C34" s="83">
        <v>4505562.6568999998</v>
      </c>
      <c r="D34" s="19" t="s">
        <v>38</v>
      </c>
      <c r="E34" s="19" t="s">
        <v>38</v>
      </c>
      <c r="F34" s="19" t="s">
        <v>38</v>
      </c>
      <c r="G34" s="19" t="s">
        <v>38</v>
      </c>
      <c r="H34" s="19" t="s">
        <v>38</v>
      </c>
      <c r="I34" s="19" t="s">
        <v>38</v>
      </c>
      <c r="J34" s="19" t="s">
        <v>38</v>
      </c>
      <c r="K34" s="19" t="s">
        <v>38</v>
      </c>
      <c r="L34" s="19" t="s">
        <v>38</v>
      </c>
      <c r="M34" s="19" t="s">
        <v>38</v>
      </c>
      <c r="N34" s="23" t="s">
        <v>38</v>
      </c>
      <c r="O34" s="23" t="s">
        <v>38</v>
      </c>
      <c r="P34" s="23" t="s">
        <v>38</v>
      </c>
      <c r="Q34" s="23" t="s">
        <v>38</v>
      </c>
      <c r="R34" s="23" t="s">
        <v>38</v>
      </c>
      <c r="S34" s="23" t="s">
        <v>38</v>
      </c>
      <c r="T34" s="19" t="s">
        <v>38</v>
      </c>
      <c r="U34" s="19" t="s">
        <v>38</v>
      </c>
      <c r="V34" s="19" t="s">
        <v>38</v>
      </c>
      <c r="W34" s="19" t="s">
        <v>38</v>
      </c>
      <c r="X34" s="19" t="s">
        <v>38</v>
      </c>
      <c r="Y34" s="19" t="s">
        <v>38</v>
      </c>
      <c r="Z34" s="19" t="s">
        <v>38</v>
      </c>
      <c r="AA34" s="19" t="s">
        <v>38</v>
      </c>
      <c r="AB34" s="19" t="s">
        <v>38</v>
      </c>
      <c r="AC34" s="19" t="s">
        <v>38</v>
      </c>
      <c r="AD34" s="19" t="s">
        <v>38</v>
      </c>
      <c r="AE34" s="19" t="s">
        <v>38</v>
      </c>
      <c r="AF34" s="19" t="s">
        <v>38</v>
      </c>
      <c r="AG34" s="19" t="s">
        <v>38</v>
      </c>
      <c r="AH34" s="19" t="s">
        <v>38</v>
      </c>
      <c r="AI34" s="19" t="s">
        <v>38</v>
      </c>
      <c r="AJ34" s="19" t="s">
        <v>38</v>
      </c>
      <c r="AK34" s="19" t="s">
        <v>38</v>
      </c>
      <c r="AL34" s="19" t="s">
        <v>38</v>
      </c>
      <c r="AM34" s="19" t="s">
        <v>38</v>
      </c>
      <c r="AN34" s="19" t="s">
        <v>38</v>
      </c>
      <c r="AO34" s="19" t="s">
        <v>38</v>
      </c>
      <c r="AP34" s="19" t="s">
        <v>38</v>
      </c>
      <c r="AQ34" s="19" t="s">
        <v>38</v>
      </c>
      <c r="AR34" s="19" t="s">
        <v>38</v>
      </c>
      <c r="AS34" s="19" t="s">
        <v>38</v>
      </c>
      <c r="AT34" s="19" t="s">
        <v>38</v>
      </c>
      <c r="AU34" s="19" t="s">
        <v>38</v>
      </c>
      <c r="AV34" s="19" t="s">
        <v>38</v>
      </c>
      <c r="AW34" s="19" t="s">
        <v>38</v>
      </c>
      <c r="AX34" s="19" t="s">
        <v>38</v>
      </c>
      <c r="AY34" s="19" t="s">
        <v>38</v>
      </c>
      <c r="AZ34" s="19" t="s">
        <v>38</v>
      </c>
      <c r="BA34" s="19" t="s">
        <v>38</v>
      </c>
      <c r="BB34" s="19" t="s">
        <v>38</v>
      </c>
      <c r="BC34" s="19" t="s">
        <v>38</v>
      </c>
      <c r="BD34" s="19" t="s">
        <v>38</v>
      </c>
      <c r="BE34" s="19" t="s">
        <v>38</v>
      </c>
      <c r="BF34" s="19" t="s">
        <v>38</v>
      </c>
      <c r="BG34" s="19" t="s">
        <v>38</v>
      </c>
      <c r="BH34" s="19" t="s">
        <v>38</v>
      </c>
      <c r="BI34" s="19" t="s">
        <v>38</v>
      </c>
      <c r="BJ34" s="19" t="s">
        <v>38</v>
      </c>
      <c r="BK34" s="19" t="s">
        <v>38</v>
      </c>
      <c r="BL34" s="19" t="s">
        <v>38</v>
      </c>
      <c r="BM34" s="19" t="s">
        <v>38</v>
      </c>
      <c r="BN34" s="19" t="s">
        <v>38</v>
      </c>
      <c r="BO34" s="19" t="s">
        <v>38</v>
      </c>
      <c r="BP34" s="19" t="s">
        <v>38</v>
      </c>
      <c r="BQ34" s="19" t="s">
        <v>38</v>
      </c>
      <c r="BR34" s="19" t="s">
        <v>38</v>
      </c>
      <c r="BS34" s="19" t="s">
        <v>38</v>
      </c>
      <c r="BT34" s="19" t="s">
        <v>38</v>
      </c>
      <c r="BU34" s="19" t="s">
        <v>38</v>
      </c>
      <c r="BV34" s="19" t="s">
        <v>38</v>
      </c>
      <c r="BW34" s="19" t="s">
        <v>38</v>
      </c>
      <c r="BX34" s="19" t="s">
        <v>38</v>
      </c>
      <c r="BY34" s="69" t="s">
        <v>38</v>
      </c>
      <c r="BZ34" s="69" t="s">
        <v>38</v>
      </c>
      <c r="CA34" s="86" t="s">
        <v>38</v>
      </c>
    </row>
    <row r="35" spans="1:79">
      <c r="A35" s="60">
        <v>26</v>
      </c>
      <c r="B35" s="83">
        <v>254533.69367800001</v>
      </c>
      <c r="C35" s="83">
        <v>4505540.5411999999</v>
      </c>
      <c r="D35" s="19" t="s">
        <v>38</v>
      </c>
      <c r="E35" s="19" t="s">
        <v>38</v>
      </c>
      <c r="F35" s="19" t="s">
        <v>38</v>
      </c>
      <c r="G35" s="19" t="s">
        <v>38</v>
      </c>
      <c r="H35" s="19" t="s">
        <v>38</v>
      </c>
      <c r="I35" s="19" t="s">
        <v>38</v>
      </c>
      <c r="J35" s="19" t="s">
        <v>38</v>
      </c>
      <c r="K35" s="19" t="s">
        <v>38</v>
      </c>
      <c r="L35" s="19" t="s">
        <v>38</v>
      </c>
      <c r="M35" s="19" t="s">
        <v>38</v>
      </c>
      <c r="N35" s="23" t="s">
        <v>38</v>
      </c>
      <c r="O35" s="23" t="s">
        <v>38</v>
      </c>
      <c r="P35" s="23" t="s">
        <v>38</v>
      </c>
      <c r="Q35" s="23" t="s">
        <v>38</v>
      </c>
      <c r="R35" s="23" t="s">
        <v>38</v>
      </c>
      <c r="S35" s="23" t="s">
        <v>38</v>
      </c>
      <c r="T35" s="19" t="s">
        <v>38</v>
      </c>
      <c r="U35" s="19" t="s">
        <v>38</v>
      </c>
      <c r="V35" s="19" t="s">
        <v>38</v>
      </c>
      <c r="W35" s="19" t="s">
        <v>38</v>
      </c>
      <c r="X35" s="19" t="s">
        <v>38</v>
      </c>
      <c r="Y35" s="19" t="s">
        <v>38</v>
      </c>
      <c r="Z35" s="19" t="s">
        <v>38</v>
      </c>
      <c r="AA35" s="19" t="s">
        <v>38</v>
      </c>
      <c r="AB35" s="19" t="s">
        <v>38</v>
      </c>
      <c r="AC35" s="19" t="s">
        <v>38</v>
      </c>
      <c r="AD35" s="19" t="s">
        <v>38</v>
      </c>
      <c r="AE35" s="19" t="s">
        <v>38</v>
      </c>
      <c r="AF35" s="19" t="s">
        <v>38</v>
      </c>
      <c r="AG35" s="19" t="s">
        <v>38</v>
      </c>
      <c r="AH35" s="19" t="s">
        <v>38</v>
      </c>
      <c r="AI35" s="19" t="s">
        <v>38</v>
      </c>
      <c r="AJ35" s="19" t="s">
        <v>38</v>
      </c>
      <c r="AK35" s="19" t="s">
        <v>38</v>
      </c>
      <c r="AL35" s="19" t="s">
        <v>38</v>
      </c>
      <c r="AM35" s="19" t="s">
        <v>38</v>
      </c>
      <c r="AN35" s="19" t="s">
        <v>38</v>
      </c>
      <c r="AO35" s="19" t="s">
        <v>38</v>
      </c>
      <c r="AP35" s="19" t="s">
        <v>38</v>
      </c>
      <c r="AQ35" s="19" t="s">
        <v>38</v>
      </c>
      <c r="AR35" s="19" t="s">
        <v>38</v>
      </c>
      <c r="AS35" s="19" t="s">
        <v>38</v>
      </c>
      <c r="AT35" s="19" t="s">
        <v>38</v>
      </c>
      <c r="AU35" s="19" t="s">
        <v>38</v>
      </c>
      <c r="AV35" s="19" t="s">
        <v>38</v>
      </c>
      <c r="AW35" s="19" t="s">
        <v>38</v>
      </c>
      <c r="AX35" s="19" t="s">
        <v>38</v>
      </c>
      <c r="AY35" s="19" t="s">
        <v>38</v>
      </c>
      <c r="AZ35" s="19" t="s">
        <v>38</v>
      </c>
      <c r="BA35" s="19" t="s">
        <v>38</v>
      </c>
      <c r="BB35" s="19" t="s">
        <v>38</v>
      </c>
      <c r="BC35" s="19" t="s">
        <v>38</v>
      </c>
      <c r="BD35" s="19" t="s">
        <v>38</v>
      </c>
      <c r="BE35" s="19" t="s">
        <v>38</v>
      </c>
      <c r="BF35" s="19" t="s">
        <v>38</v>
      </c>
      <c r="BG35" s="19" t="s">
        <v>38</v>
      </c>
      <c r="BH35" s="19" t="s">
        <v>38</v>
      </c>
      <c r="BI35" s="19" t="s">
        <v>38</v>
      </c>
      <c r="BJ35" s="19" t="s">
        <v>38</v>
      </c>
      <c r="BK35" s="19" t="s">
        <v>38</v>
      </c>
      <c r="BL35" s="19" t="s">
        <v>38</v>
      </c>
      <c r="BM35" s="19" t="s">
        <v>38</v>
      </c>
      <c r="BN35" s="19" t="s">
        <v>38</v>
      </c>
      <c r="BO35" s="19" t="s">
        <v>38</v>
      </c>
      <c r="BP35" s="19" t="s">
        <v>38</v>
      </c>
      <c r="BQ35" s="19" t="s">
        <v>38</v>
      </c>
      <c r="BR35" s="19" t="s">
        <v>38</v>
      </c>
      <c r="BS35" s="19" t="s">
        <v>38</v>
      </c>
      <c r="BT35" s="19" t="s">
        <v>38</v>
      </c>
      <c r="BU35" s="19" t="s">
        <v>38</v>
      </c>
      <c r="BV35" s="19" t="s">
        <v>38</v>
      </c>
      <c r="BW35" s="19" t="s">
        <v>38</v>
      </c>
      <c r="BX35" s="19" t="s">
        <v>38</v>
      </c>
      <c r="BY35" s="69" t="s">
        <v>38</v>
      </c>
      <c r="BZ35" s="69" t="s">
        <v>38</v>
      </c>
      <c r="CA35" s="86" t="s">
        <v>38</v>
      </c>
    </row>
    <row r="36" spans="1:79">
      <c r="A36" s="60">
        <v>27</v>
      </c>
      <c r="B36" s="82">
        <v>254513.240017</v>
      </c>
      <c r="C36" s="82">
        <v>4505597.2084600003</v>
      </c>
      <c r="D36" s="19" t="s">
        <v>38</v>
      </c>
      <c r="E36" s="19">
        <v>0.376</v>
      </c>
      <c r="F36" s="19">
        <v>0.39950000000000002</v>
      </c>
      <c r="G36" s="19">
        <v>0.4325</v>
      </c>
      <c r="H36" s="19">
        <v>0.4405</v>
      </c>
      <c r="I36" s="19">
        <v>0.29049999999999998</v>
      </c>
      <c r="J36" s="19">
        <v>0.27300000000000002</v>
      </c>
      <c r="K36" s="19">
        <v>0.26200000000000001</v>
      </c>
      <c r="L36" s="19">
        <v>0.3105</v>
      </c>
      <c r="M36" s="19">
        <v>0.27800000000000002</v>
      </c>
      <c r="N36" s="16">
        <v>0.27700000000000002</v>
      </c>
      <c r="O36" s="16">
        <v>0.2545</v>
      </c>
      <c r="P36" s="16">
        <v>0.24049999999999999</v>
      </c>
      <c r="Q36" s="16">
        <v>0.33700000000000002</v>
      </c>
      <c r="R36" s="16">
        <v>0.35949999999999999</v>
      </c>
      <c r="S36" s="16">
        <v>0.378</v>
      </c>
      <c r="T36" s="16">
        <v>0.54900000000000004</v>
      </c>
      <c r="U36" s="16">
        <v>0.55500000000000005</v>
      </c>
      <c r="V36" s="16">
        <v>0.68700000000000006</v>
      </c>
      <c r="W36" s="16">
        <v>0.63600000000000001</v>
      </c>
      <c r="X36" s="23">
        <v>0.73899999999999999</v>
      </c>
      <c r="Y36" s="24">
        <v>0.79100000000000004</v>
      </c>
      <c r="Z36" s="23">
        <v>0.755</v>
      </c>
      <c r="AA36" s="23">
        <v>0.76700000000000002</v>
      </c>
      <c r="AB36" s="23">
        <v>0.75800000000000001</v>
      </c>
      <c r="AC36" s="24">
        <v>0.71699999999999997</v>
      </c>
      <c r="AD36" s="16">
        <v>0.73899999999999999</v>
      </c>
      <c r="AE36" s="16">
        <v>0.34899999999999998</v>
      </c>
      <c r="AF36" s="16">
        <v>0.41399999999999998</v>
      </c>
      <c r="AG36" s="16">
        <v>0.36199999999999999</v>
      </c>
      <c r="AH36" s="16">
        <v>0.29399999999999998</v>
      </c>
      <c r="AI36" s="16">
        <v>0.30299999999999999</v>
      </c>
      <c r="AJ36" s="16">
        <v>0.371</v>
      </c>
      <c r="AK36" s="16">
        <v>0.29099999999999998</v>
      </c>
      <c r="AL36" s="16">
        <v>0.57899999999999996</v>
      </c>
      <c r="AM36" s="16">
        <v>0.65400000000000003</v>
      </c>
      <c r="AN36" s="40">
        <v>0.40799999999999997</v>
      </c>
      <c r="AO36" s="40">
        <v>0.32</v>
      </c>
      <c r="AP36" s="40">
        <v>0.378</v>
      </c>
      <c r="AQ36" s="40">
        <v>0.50700000000000001</v>
      </c>
      <c r="AR36" s="40">
        <v>0.35899999999999999</v>
      </c>
      <c r="AS36" s="40">
        <v>0.36499999999999999</v>
      </c>
      <c r="AT36" s="40">
        <v>0.33600000000000002</v>
      </c>
      <c r="AU36" s="40">
        <v>0.32900000000000001</v>
      </c>
      <c r="AV36" s="40">
        <v>0.32900000000000001</v>
      </c>
      <c r="AW36" s="40">
        <v>0.27700000000000002</v>
      </c>
      <c r="AX36" s="40">
        <v>0.24399999999999999</v>
      </c>
      <c r="AY36" s="40">
        <v>0.38800000000000001</v>
      </c>
      <c r="AZ36" s="40">
        <v>0.31</v>
      </c>
      <c r="BA36" s="40">
        <v>0.39600000000000002</v>
      </c>
      <c r="BB36" s="49">
        <v>0.23899999999999999</v>
      </c>
      <c r="BC36" s="40">
        <v>0.32750000000000001</v>
      </c>
      <c r="BD36" s="19" t="s">
        <v>38</v>
      </c>
      <c r="BE36" s="19" t="s">
        <v>38</v>
      </c>
      <c r="BF36" s="19" t="s">
        <v>38</v>
      </c>
      <c r="BG36" s="40">
        <v>0.44700000000000001</v>
      </c>
      <c r="BH36" s="38">
        <v>0.34599999999999997</v>
      </c>
      <c r="BI36" s="38">
        <v>0.41599999999999998</v>
      </c>
      <c r="BJ36" s="38">
        <v>0.38850000000000001</v>
      </c>
      <c r="BK36" s="38">
        <v>0.3725</v>
      </c>
      <c r="BL36" s="38">
        <v>0.39700000000000002</v>
      </c>
      <c r="BM36" s="38">
        <v>0.42249999999999999</v>
      </c>
      <c r="BN36" s="19" t="s">
        <v>38</v>
      </c>
      <c r="BO36" s="40">
        <v>0.41400000000000003</v>
      </c>
      <c r="BP36" s="38">
        <v>0.432</v>
      </c>
      <c r="BQ36" s="38">
        <v>0.28100000000000003</v>
      </c>
      <c r="BR36" s="41">
        <v>0.29399999999999998</v>
      </c>
      <c r="BS36" s="41">
        <v>0.28400000000000003</v>
      </c>
      <c r="BT36" s="41">
        <v>0.254</v>
      </c>
      <c r="BU36" s="42">
        <v>0.29399999999999998</v>
      </c>
      <c r="BV36" s="41">
        <v>0.33</v>
      </c>
      <c r="BW36" s="42">
        <v>0.40649999999999997</v>
      </c>
      <c r="BX36" s="42">
        <v>0.33450000000000002</v>
      </c>
      <c r="BY36" s="85">
        <f>(0.441+0.433)/2</f>
        <v>0.437</v>
      </c>
      <c r="BZ36" s="85">
        <f>(0.365+0.378)/2</f>
        <v>0.3715</v>
      </c>
      <c r="CA36" s="86">
        <v>0.49</v>
      </c>
    </row>
    <row r="37" spans="1:79">
      <c r="A37" s="60">
        <v>28</v>
      </c>
      <c r="B37" s="82">
        <v>254529.46167600001</v>
      </c>
      <c r="C37" s="82">
        <v>4505586.2259</v>
      </c>
      <c r="D37" s="19" t="s">
        <v>38</v>
      </c>
      <c r="E37" s="19">
        <v>0.3125</v>
      </c>
      <c r="F37" s="19">
        <v>0.316</v>
      </c>
      <c r="G37" s="19">
        <v>0.3105</v>
      </c>
      <c r="H37" s="19">
        <v>0.32450000000000001</v>
      </c>
      <c r="I37" s="19">
        <v>0.2555</v>
      </c>
      <c r="J37" s="19">
        <v>0.2495</v>
      </c>
      <c r="K37" s="19">
        <v>0.20699999999999999</v>
      </c>
      <c r="L37" s="19">
        <v>0.223</v>
      </c>
      <c r="M37" s="19">
        <v>0.1895</v>
      </c>
      <c r="N37" s="16">
        <v>0.217</v>
      </c>
      <c r="O37" s="16">
        <v>0.1905</v>
      </c>
      <c r="P37" s="16">
        <v>0.186</v>
      </c>
      <c r="Q37" s="16">
        <v>0.221</v>
      </c>
      <c r="R37" s="23" t="s">
        <v>38</v>
      </c>
      <c r="S37" s="16">
        <v>0.2445</v>
      </c>
      <c r="T37" s="16">
        <v>0.33400000000000002</v>
      </c>
      <c r="U37" s="16">
        <v>0.34399999999999997</v>
      </c>
      <c r="V37" s="16">
        <v>0.33400000000000002</v>
      </c>
      <c r="W37" s="16">
        <v>0.39500000000000002</v>
      </c>
      <c r="X37" s="23">
        <v>0.35</v>
      </c>
      <c r="Y37" s="24">
        <v>0.34899999999999998</v>
      </c>
      <c r="Z37" s="23">
        <v>0.318</v>
      </c>
      <c r="AA37" s="23">
        <v>0.33700000000000002</v>
      </c>
      <c r="AB37" s="23">
        <v>0.32800000000000001</v>
      </c>
      <c r="AC37" s="24">
        <v>0.35499999999999998</v>
      </c>
      <c r="AD37" s="16">
        <v>0.39</v>
      </c>
      <c r="AE37" s="16">
        <v>0.36699999999999999</v>
      </c>
      <c r="AF37" s="16">
        <v>0.27</v>
      </c>
      <c r="AG37" s="16">
        <v>0.246</v>
      </c>
      <c r="AH37" s="16">
        <v>0.23400000000000001</v>
      </c>
      <c r="AI37" s="16">
        <v>0.253</v>
      </c>
      <c r="AJ37" s="16">
        <v>0.252</v>
      </c>
      <c r="AK37" s="16">
        <v>0.20399999999999999</v>
      </c>
      <c r="AL37" s="16">
        <v>0.32800000000000001</v>
      </c>
      <c r="AM37" s="16">
        <v>0.313</v>
      </c>
      <c r="AN37" s="40">
        <v>0.28499999999999998</v>
      </c>
      <c r="AO37" s="40">
        <v>0.24299999999999999</v>
      </c>
      <c r="AP37" s="40">
        <v>0.26100000000000001</v>
      </c>
      <c r="AQ37" s="40">
        <v>0.29799999999999999</v>
      </c>
      <c r="AR37" s="40">
        <v>0.26300000000000001</v>
      </c>
      <c r="AS37" s="40">
        <v>0.27400000000000002</v>
      </c>
      <c r="AT37" s="40">
        <v>0.25800000000000001</v>
      </c>
      <c r="AU37" s="40">
        <v>0.251</v>
      </c>
      <c r="AV37" s="40">
        <v>0.254</v>
      </c>
      <c r="AW37" s="40">
        <v>0.19400000000000001</v>
      </c>
      <c r="AX37" s="40">
        <v>0.21199999999999999</v>
      </c>
      <c r="AY37" s="40">
        <v>0.28199999999999997</v>
      </c>
      <c r="AZ37" s="40">
        <v>0.24299999999999999</v>
      </c>
      <c r="BA37" s="40">
        <v>0.251</v>
      </c>
      <c r="BB37" s="49">
        <v>0.1925</v>
      </c>
      <c r="BC37" s="40">
        <v>0.2475</v>
      </c>
      <c r="BD37" s="19" t="s">
        <v>38</v>
      </c>
      <c r="BE37" s="19" t="s">
        <v>38</v>
      </c>
      <c r="BF37" s="19" t="s">
        <v>38</v>
      </c>
      <c r="BG37" s="40">
        <v>0.29549999999999998</v>
      </c>
      <c r="BH37" s="38">
        <v>0.28849999999999998</v>
      </c>
      <c r="BI37" s="38">
        <v>0.3105</v>
      </c>
      <c r="BJ37" s="38">
        <v>0.29599999999999999</v>
      </c>
      <c r="BK37" s="38">
        <v>0.27950000000000003</v>
      </c>
      <c r="BL37" s="38">
        <v>0.26750000000000002</v>
      </c>
      <c r="BM37" s="38">
        <v>0.30099999999999999</v>
      </c>
      <c r="BN37" s="19" t="s">
        <v>38</v>
      </c>
      <c r="BO37" s="40">
        <v>0.3085</v>
      </c>
      <c r="BP37" s="38">
        <v>0.28749999999999998</v>
      </c>
      <c r="BQ37" s="38">
        <v>0.251</v>
      </c>
      <c r="BR37" s="41">
        <v>0.248</v>
      </c>
      <c r="BS37" s="41">
        <v>0.247</v>
      </c>
      <c r="BT37" s="41">
        <v>0.2455</v>
      </c>
      <c r="BU37" s="42">
        <v>0.23599999999999999</v>
      </c>
      <c r="BV37" s="41">
        <v>0.26850000000000002</v>
      </c>
      <c r="BW37" s="42">
        <v>0.2525</v>
      </c>
      <c r="BX37" s="42">
        <v>0.2545</v>
      </c>
      <c r="BY37" s="85">
        <f>(0.31+0.331)/2</f>
        <v>0.32050000000000001</v>
      </c>
      <c r="BZ37" s="85">
        <f>(0.346+0.332)/2</f>
        <v>0.33899999999999997</v>
      </c>
      <c r="CA37" s="86">
        <v>0.41949999999999998</v>
      </c>
    </row>
    <row r="38" spans="1:79">
      <c r="A38" s="60">
        <v>29</v>
      </c>
      <c r="B38" s="82">
        <v>254562.056644</v>
      </c>
      <c r="C38" s="82">
        <v>4505556.1068799999</v>
      </c>
      <c r="D38" s="19" t="s">
        <v>38</v>
      </c>
      <c r="E38" s="19" t="s">
        <v>38</v>
      </c>
      <c r="F38" s="19" t="s">
        <v>38</v>
      </c>
      <c r="G38" s="19" t="s">
        <v>38</v>
      </c>
      <c r="H38" s="19" t="s">
        <v>38</v>
      </c>
      <c r="I38" s="19" t="s">
        <v>38</v>
      </c>
      <c r="J38" s="19" t="s">
        <v>38</v>
      </c>
      <c r="K38" s="19" t="s">
        <v>38</v>
      </c>
      <c r="L38" s="19" t="s">
        <v>38</v>
      </c>
      <c r="M38" s="19" t="s">
        <v>38</v>
      </c>
      <c r="N38" s="23" t="s">
        <v>38</v>
      </c>
      <c r="O38" s="23" t="s">
        <v>38</v>
      </c>
      <c r="P38" s="23" t="s">
        <v>38</v>
      </c>
      <c r="Q38" s="23" t="s">
        <v>38</v>
      </c>
      <c r="R38" s="23" t="s">
        <v>38</v>
      </c>
      <c r="S38" s="23" t="s">
        <v>38</v>
      </c>
      <c r="T38" s="19" t="s">
        <v>38</v>
      </c>
      <c r="U38" s="19" t="s">
        <v>38</v>
      </c>
      <c r="V38" s="19" t="s">
        <v>38</v>
      </c>
      <c r="W38" s="19" t="s">
        <v>38</v>
      </c>
      <c r="X38" s="19" t="s">
        <v>38</v>
      </c>
      <c r="Y38" s="19" t="s">
        <v>38</v>
      </c>
      <c r="Z38" s="19" t="s">
        <v>38</v>
      </c>
      <c r="AA38" s="19" t="s">
        <v>38</v>
      </c>
      <c r="AB38" s="19" t="s">
        <v>38</v>
      </c>
      <c r="AC38" s="19" t="s">
        <v>38</v>
      </c>
      <c r="AD38" s="19" t="s">
        <v>38</v>
      </c>
      <c r="AE38" s="19" t="s">
        <v>38</v>
      </c>
      <c r="AF38" s="19" t="s">
        <v>38</v>
      </c>
      <c r="AG38" s="19" t="s">
        <v>38</v>
      </c>
      <c r="AH38" s="19" t="s">
        <v>38</v>
      </c>
      <c r="AI38" s="19" t="s">
        <v>38</v>
      </c>
      <c r="AJ38" s="19" t="s">
        <v>38</v>
      </c>
      <c r="AK38" s="19" t="s">
        <v>38</v>
      </c>
      <c r="AL38" s="19" t="s">
        <v>38</v>
      </c>
      <c r="AM38" s="19" t="s">
        <v>38</v>
      </c>
      <c r="AN38" s="19" t="s">
        <v>38</v>
      </c>
      <c r="AO38" s="19" t="s">
        <v>38</v>
      </c>
      <c r="AP38" s="19" t="s">
        <v>38</v>
      </c>
      <c r="AQ38" s="19" t="s">
        <v>38</v>
      </c>
      <c r="AR38" s="19" t="s">
        <v>38</v>
      </c>
      <c r="AS38" s="19" t="s">
        <v>38</v>
      </c>
      <c r="AT38" s="19" t="s">
        <v>38</v>
      </c>
      <c r="AU38" s="19" t="s">
        <v>38</v>
      </c>
      <c r="AV38" s="19" t="s">
        <v>38</v>
      </c>
      <c r="AW38" s="19" t="s">
        <v>38</v>
      </c>
      <c r="AX38" s="19" t="s">
        <v>38</v>
      </c>
      <c r="AY38" s="19" t="s">
        <v>38</v>
      </c>
      <c r="AZ38" s="19" t="s">
        <v>38</v>
      </c>
      <c r="BA38" s="19" t="s">
        <v>38</v>
      </c>
      <c r="BB38" s="19" t="s">
        <v>38</v>
      </c>
      <c r="BC38" s="19" t="s">
        <v>38</v>
      </c>
      <c r="BD38" s="19" t="s">
        <v>38</v>
      </c>
      <c r="BE38" s="19" t="s">
        <v>38</v>
      </c>
      <c r="BF38" s="19" t="s">
        <v>38</v>
      </c>
      <c r="BG38" s="19" t="s">
        <v>38</v>
      </c>
      <c r="BH38" s="19" t="s">
        <v>38</v>
      </c>
      <c r="BI38" s="19" t="s">
        <v>38</v>
      </c>
      <c r="BJ38" s="19" t="s">
        <v>38</v>
      </c>
      <c r="BK38" s="19" t="s">
        <v>38</v>
      </c>
      <c r="BL38" s="19" t="s">
        <v>38</v>
      </c>
      <c r="BM38" s="19" t="s">
        <v>38</v>
      </c>
      <c r="BN38" s="19" t="s">
        <v>38</v>
      </c>
      <c r="BO38" s="19" t="s">
        <v>38</v>
      </c>
      <c r="BP38" s="19" t="s">
        <v>38</v>
      </c>
      <c r="BQ38" s="19" t="s">
        <v>38</v>
      </c>
      <c r="BR38" s="19" t="s">
        <v>38</v>
      </c>
      <c r="BS38" s="19" t="s">
        <v>38</v>
      </c>
      <c r="BT38" s="19" t="s">
        <v>38</v>
      </c>
      <c r="BU38" s="19" t="s">
        <v>38</v>
      </c>
      <c r="BV38" s="19" t="s">
        <v>38</v>
      </c>
      <c r="BW38" s="19" t="s">
        <v>38</v>
      </c>
      <c r="BX38" s="19" t="s">
        <v>38</v>
      </c>
      <c r="BY38" s="85" t="s">
        <v>38</v>
      </c>
      <c r="BZ38" s="85" t="s">
        <v>38</v>
      </c>
      <c r="CA38" s="86" t="s">
        <v>38</v>
      </c>
    </row>
    <row r="39" spans="1:79">
      <c r="A39" s="60">
        <v>30</v>
      </c>
      <c r="B39" s="82">
        <v>254600.96687999999</v>
      </c>
      <c r="C39" s="82">
        <v>4505520.1160399998</v>
      </c>
      <c r="D39" s="19" t="s">
        <v>38</v>
      </c>
      <c r="E39" s="19" t="s">
        <v>38</v>
      </c>
      <c r="F39" s="19" t="s">
        <v>38</v>
      </c>
      <c r="G39" s="19" t="s">
        <v>38</v>
      </c>
      <c r="H39" s="19" t="s">
        <v>38</v>
      </c>
      <c r="I39" s="19" t="s">
        <v>38</v>
      </c>
      <c r="J39" s="19" t="s">
        <v>38</v>
      </c>
      <c r="K39" s="19" t="s">
        <v>38</v>
      </c>
      <c r="L39" s="19" t="s">
        <v>38</v>
      </c>
      <c r="M39" s="19" t="s">
        <v>38</v>
      </c>
      <c r="N39" s="23" t="s">
        <v>38</v>
      </c>
      <c r="O39" s="23" t="s">
        <v>38</v>
      </c>
      <c r="P39" s="23" t="s">
        <v>38</v>
      </c>
      <c r="Q39" s="23" t="s">
        <v>38</v>
      </c>
      <c r="R39" s="23" t="s">
        <v>38</v>
      </c>
      <c r="S39" s="23" t="s">
        <v>38</v>
      </c>
      <c r="T39" s="19" t="s">
        <v>38</v>
      </c>
      <c r="U39" s="19" t="s">
        <v>38</v>
      </c>
      <c r="V39" s="19" t="s">
        <v>38</v>
      </c>
      <c r="W39" s="19" t="s">
        <v>38</v>
      </c>
      <c r="X39" s="19" t="s">
        <v>38</v>
      </c>
      <c r="Y39" s="19" t="s">
        <v>38</v>
      </c>
      <c r="Z39" s="19" t="s">
        <v>38</v>
      </c>
      <c r="AA39" s="19" t="s">
        <v>38</v>
      </c>
      <c r="AB39" s="19" t="s">
        <v>38</v>
      </c>
      <c r="AC39" s="19" t="s">
        <v>38</v>
      </c>
      <c r="AD39" s="19" t="s">
        <v>38</v>
      </c>
      <c r="AE39" s="19" t="s">
        <v>38</v>
      </c>
      <c r="AF39" s="19" t="s">
        <v>38</v>
      </c>
      <c r="AG39" s="19" t="s">
        <v>38</v>
      </c>
      <c r="AH39" s="19" t="s">
        <v>38</v>
      </c>
      <c r="AI39" s="19" t="s">
        <v>38</v>
      </c>
      <c r="AJ39" s="19" t="s">
        <v>38</v>
      </c>
      <c r="AK39" s="19" t="s">
        <v>38</v>
      </c>
      <c r="AL39" s="19" t="s">
        <v>38</v>
      </c>
      <c r="AM39" s="19" t="s">
        <v>38</v>
      </c>
      <c r="AN39" s="19" t="s">
        <v>38</v>
      </c>
      <c r="AO39" s="19" t="s">
        <v>38</v>
      </c>
      <c r="AP39" s="19" t="s">
        <v>38</v>
      </c>
      <c r="AQ39" s="19" t="s">
        <v>38</v>
      </c>
      <c r="AR39" s="19" t="s">
        <v>38</v>
      </c>
      <c r="AS39" s="19" t="s">
        <v>38</v>
      </c>
      <c r="AT39" s="19" t="s">
        <v>38</v>
      </c>
      <c r="AU39" s="19" t="s">
        <v>38</v>
      </c>
      <c r="AV39" s="19" t="s">
        <v>38</v>
      </c>
      <c r="AW39" s="19" t="s">
        <v>38</v>
      </c>
      <c r="AX39" s="19" t="s">
        <v>38</v>
      </c>
      <c r="AY39" s="19" t="s">
        <v>38</v>
      </c>
      <c r="AZ39" s="19" t="s">
        <v>38</v>
      </c>
      <c r="BA39" s="19" t="s">
        <v>38</v>
      </c>
      <c r="BB39" s="19" t="s">
        <v>38</v>
      </c>
      <c r="BC39" s="19" t="s">
        <v>38</v>
      </c>
      <c r="BD39" s="19" t="s">
        <v>38</v>
      </c>
      <c r="BE39" s="19" t="s">
        <v>38</v>
      </c>
      <c r="BF39" s="19" t="s">
        <v>38</v>
      </c>
      <c r="BG39" s="19" t="s">
        <v>38</v>
      </c>
      <c r="BH39" s="19" t="s">
        <v>38</v>
      </c>
      <c r="BI39" s="19" t="s">
        <v>38</v>
      </c>
      <c r="BJ39" s="19" t="s">
        <v>38</v>
      </c>
      <c r="BK39" s="19" t="s">
        <v>38</v>
      </c>
      <c r="BL39" s="19" t="s">
        <v>38</v>
      </c>
      <c r="BM39" s="19" t="s">
        <v>38</v>
      </c>
      <c r="BN39" s="19" t="s">
        <v>38</v>
      </c>
      <c r="BO39" s="19" t="s">
        <v>38</v>
      </c>
      <c r="BP39" s="19" t="s">
        <v>38</v>
      </c>
      <c r="BQ39" s="19" t="s">
        <v>38</v>
      </c>
      <c r="BR39" s="19" t="s">
        <v>38</v>
      </c>
      <c r="BS39" s="19" t="s">
        <v>38</v>
      </c>
      <c r="BT39" s="19" t="s">
        <v>38</v>
      </c>
      <c r="BU39" s="19" t="s">
        <v>38</v>
      </c>
      <c r="BV39" s="19" t="s">
        <v>38</v>
      </c>
      <c r="BW39" s="19" t="s">
        <v>38</v>
      </c>
      <c r="BX39" s="19" t="s">
        <v>38</v>
      </c>
      <c r="BY39" s="69" t="s">
        <v>38</v>
      </c>
      <c r="BZ39" s="69" t="s">
        <v>38</v>
      </c>
      <c r="CA39" s="86" t="s">
        <v>38</v>
      </c>
    </row>
    <row r="40" spans="1:79">
      <c r="A40" s="60">
        <v>31</v>
      </c>
      <c r="B40" s="82">
        <v>254602.038967</v>
      </c>
      <c r="C40" s="82">
        <v>4505614.9486699998</v>
      </c>
      <c r="D40" s="19" t="s">
        <v>38</v>
      </c>
      <c r="E40" s="19">
        <v>0.17099999999999999</v>
      </c>
      <c r="F40" s="19">
        <v>0.16</v>
      </c>
      <c r="G40" s="19">
        <v>0.16500000000000001</v>
      </c>
      <c r="H40" s="19">
        <v>0.16300000000000001</v>
      </c>
      <c r="I40" s="19">
        <v>0.14649999999999999</v>
      </c>
      <c r="J40" s="19">
        <v>0.13900000000000001</v>
      </c>
      <c r="K40" s="19">
        <v>0.11449999999999999</v>
      </c>
      <c r="L40" s="19">
        <v>0.13550000000000001</v>
      </c>
      <c r="M40" s="19">
        <v>0.111</v>
      </c>
      <c r="N40" s="16">
        <v>0.129</v>
      </c>
      <c r="O40" s="16">
        <v>0.1235</v>
      </c>
      <c r="P40" s="16">
        <v>0.1255</v>
      </c>
      <c r="Q40" s="16">
        <v>0.13300000000000001</v>
      </c>
      <c r="R40" s="16">
        <v>0.153</v>
      </c>
      <c r="S40" s="16">
        <v>0.13900000000000001</v>
      </c>
      <c r="T40" s="16">
        <v>0.17599999999999999</v>
      </c>
      <c r="U40" s="16">
        <v>0.182</v>
      </c>
      <c r="V40" s="16">
        <v>0.17899999999999999</v>
      </c>
      <c r="W40" s="16">
        <v>0.17699999999999999</v>
      </c>
      <c r="X40" s="23">
        <v>0.17399999999999999</v>
      </c>
      <c r="Y40" s="24">
        <v>0.16200000000000001</v>
      </c>
      <c r="Z40" s="23">
        <v>0.16600000000000001</v>
      </c>
      <c r="AA40" s="23">
        <v>0.18099999999999999</v>
      </c>
      <c r="AB40" s="23">
        <v>0.16700000000000001</v>
      </c>
      <c r="AC40" s="24">
        <v>0.188</v>
      </c>
      <c r="AD40" s="16">
        <v>0.18099999999999999</v>
      </c>
      <c r="AE40" s="16">
        <v>0.182</v>
      </c>
      <c r="AF40" s="16">
        <v>0.16400000000000001</v>
      </c>
      <c r="AG40" s="16">
        <v>0.16200000000000001</v>
      </c>
      <c r="AH40" s="16">
        <v>0.14899999999999999</v>
      </c>
      <c r="AI40" s="16">
        <v>0.16600000000000001</v>
      </c>
      <c r="AJ40" s="16">
        <v>0.16</v>
      </c>
      <c r="AK40" s="16">
        <v>0.11600000000000001</v>
      </c>
      <c r="AL40" s="16">
        <v>0.17499999999999999</v>
      </c>
      <c r="AM40" s="16">
        <v>0.13800000000000001</v>
      </c>
      <c r="AN40" s="40">
        <v>0.14699999999999999</v>
      </c>
      <c r="AO40" s="40">
        <v>0.11700000000000001</v>
      </c>
      <c r="AP40" s="40">
        <v>9.7000000000000003E-2</v>
      </c>
      <c r="AQ40" s="40">
        <v>0.14399999999999999</v>
      </c>
      <c r="AR40" s="40">
        <v>0.14499999999999999</v>
      </c>
      <c r="AS40" s="40">
        <v>0.13200000000000001</v>
      </c>
      <c r="AT40" s="40">
        <v>0.14899999999999999</v>
      </c>
      <c r="AU40" s="40">
        <v>0.104</v>
      </c>
      <c r="AV40" s="40">
        <v>0.13100000000000001</v>
      </c>
      <c r="AW40" s="40">
        <v>0.13400000000000001</v>
      </c>
      <c r="AX40" s="40">
        <v>0.113</v>
      </c>
      <c r="AY40" s="40">
        <v>0.151</v>
      </c>
      <c r="AZ40" s="40">
        <v>0.13600000000000001</v>
      </c>
      <c r="BA40" s="40">
        <v>0.13600000000000001</v>
      </c>
      <c r="BB40" s="49">
        <v>9.35E-2</v>
      </c>
      <c r="BC40" s="40">
        <v>0.1295</v>
      </c>
      <c r="BD40" s="19" t="s">
        <v>38</v>
      </c>
      <c r="BE40" s="19" t="s">
        <v>38</v>
      </c>
      <c r="BF40" s="19" t="s">
        <v>38</v>
      </c>
      <c r="BG40" s="40">
        <v>0.187</v>
      </c>
      <c r="BH40" s="38">
        <v>0.14499999999999999</v>
      </c>
      <c r="BI40" s="38">
        <v>0.17</v>
      </c>
      <c r="BJ40" s="38">
        <v>0.1855</v>
      </c>
      <c r="BK40" s="38">
        <v>0.15049999999999999</v>
      </c>
      <c r="BL40" s="38">
        <v>0.158</v>
      </c>
      <c r="BM40" s="38">
        <v>0.16250000000000001</v>
      </c>
      <c r="BN40" s="19" t="s">
        <v>38</v>
      </c>
      <c r="BO40" s="40">
        <v>0.161</v>
      </c>
      <c r="BP40" s="38">
        <v>0.157</v>
      </c>
      <c r="BQ40" s="38">
        <v>0.152</v>
      </c>
      <c r="BR40" s="41">
        <v>0.1565</v>
      </c>
      <c r="BS40" s="41">
        <v>0.14600000000000002</v>
      </c>
      <c r="BT40" s="41">
        <v>0.14899999999999999</v>
      </c>
      <c r="BU40" s="42">
        <v>0.1515</v>
      </c>
      <c r="BV40" s="41">
        <v>0.1555</v>
      </c>
      <c r="BW40" s="42">
        <v>0.16700000000000001</v>
      </c>
      <c r="BX40" s="42">
        <v>0.159</v>
      </c>
      <c r="BY40" s="69" t="s">
        <v>38</v>
      </c>
      <c r="BZ40" s="69" t="s">
        <v>38</v>
      </c>
      <c r="CA40" s="86" t="s">
        <v>38</v>
      </c>
    </row>
    <row r="41" spans="1:79">
      <c r="A41" s="60">
        <v>32</v>
      </c>
      <c r="B41" s="82">
        <v>254615.14761499999</v>
      </c>
      <c r="C41" s="82">
        <v>4505653.1930400003</v>
      </c>
      <c r="D41" s="19">
        <v>0.37</v>
      </c>
      <c r="E41" s="19">
        <v>0.36799999999999999</v>
      </c>
      <c r="F41" s="19">
        <v>0.35599999999999998</v>
      </c>
      <c r="G41" s="19">
        <v>0.36799999999999999</v>
      </c>
      <c r="H41" s="19">
        <v>0.36349999999999999</v>
      </c>
      <c r="I41" s="19">
        <v>0.34599999999999997</v>
      </c>
      <c r="J41" s="19">
        <v>0.32750000000000001</v>
      </c>
      <c r="K41" s="19">
        <v>0.26900000000000002</v>
      </c>
      <c r="L41" s="19">
        <v>0.27</v>
      </c>
      <c r="M41" s="19">
        <v>0.2485</v>
      </c>
      <c r="N41" s="16">
        <v>0.23899999999999999</v>
      </c>
      <c r="O41" s="16">
        <v>0.24</v>
      </c>
      <c r="P41" s="16">
        <v>0.22450000000000001</v>
      </c>
      <c r="Q41" s="16">
        <v>0.27700000000000002</v>
      </c>
      <c r="R41" s="16">
        <v>0.32550000000000001</v>
      </c>
      <c r="S41" s="16">
        <v>0.33400000000000002</v>
      </c>
      <c r="T41" s="16" t="s">
        <v>38</v>
      </c>
      <c r="U41" s="16" t="s">
        <v>38</v>
      </c>
      <c r="V41" s="16" t="s">
        <v>38</v>
      </c>
      <c r="W41" s="16" t="s">
        <v>38</v>
      </c>
      <c r="X41" s="16" t="s">
        <v>38</v>
      </c>
      <c r="Y41" s="16" t="s">
        <v>38</v>
      </c>
      <c r="Z41" s="16" t="s">
        <v>38</v>
      </c>
      <c r="AA41" s="16" t="s">
        <v>38</v>
      </c>
      <c r="AB41" s="16" t="s">
        <v>38</v>
      </c>
      <c r="AC41" s="16" t="s">
        <v>38</v>
      </c>
      <c r="AD41" s="16" t="s">
        <v>38</v>
      </c>
      <c r="AE41" s="16" t="s">
        <v>38</v>
      </c>
      <c r="AF41" s="16" t="s">
        <v>38</v>
      </c>
      <c r="AG41" s="16" t="s">
        <v>38</v>
      </c>
      <c r="AH41" s="16" t="s">
        <v>38</v>
      </c>
      <c r="AI41" s="16" t="s">
        <v>38</v>
      </c>
      <c r="AJ41" s="16" t="s">
        <v>38</v>
      </c>
      <c r="AK41" s="16" t="s">
        <v>38</v>
      </c>
      <c r="AL41" s="16" t="s">
        <v>38</v>
      </c>
      <c r="AM41" s="16" t="s">
        <v>38</v>
      </c>
      <c r="AN41" s="40">
        <v>0.38100000000000001</v>
      </c>
      <c r="AO41" s="40">
        <v>0.29099999999999998</v>
      </c>
      <c r="AP41" s="40">
        <v>0.309</v>
      </c>
      <c r="AQ41" s="40">
        <v>0.39700000000000002</v>
      </c>
      <c r="AR41" s="40">
        <v>0.34799999999999998</v>
      </c>
      <c r="AS41" s="40">
        <v>0.35599999999999998</v>
      </c>
      <c r="AT41" s="40">
        <v>0.33300000000000002</v>
      </c>
      <c r="AU41" s="40">
        <v>0.318</v>
      </c>
      <c r="AV41" s="40">
        <v>0.29099999999999998</v>
      </c>
      <c r="AW41" s="40">
        <v>0.23499999999999999</v>
      </c>
      <c r="AX41" s="40">
        <v>0.24399999999999999</v>
      </c>
      <c r="AY41" s="40">
        <v>0.23499999999999999</v>
      </c>
      <c r="AZ41" s="40" t="s">
        <v>38</v>
      </c>
      <c r="BA41" s="40">
        <v>0.25800000000000001</v>
      </c>
      <c r="BB41" s="49">
        <v>0.21</v>
      </c>
      <c r="BC41" s="40">
        <v>0.25</v>
      </c>
      <c r="BD41" s="19" t="s">
        <v>38</v>
      </c>
      <c r="BE41" s="19" t="s">
        <v>38</v>
      </c>
      <c r="BF41" s="19" t="s">
        <v>38</v>
      </c>
      <c r="BG41" s="40">
        <v>0.41249999999999998</v>
      </c>
      <c r="BH41" s="38">
        <v>0.3125</v>
      </c>
      <c r="BI41" s="38">
        <v>0.36699999999999999</v>
      </c>
      <c r="BJ41" s="38">
        <v>0.39600000000000002</v>
      </c>
      <c r="BK41" s="38">
        <v>0.33300000000000002</v>
      </c>
      <c r="BL41" s="38">
        <v>0.35399999999999998</v>
      </c>
      <c r="BM41" s="38">
        <v>0.38250000000000001</v>
      </c>
      <c r="BN41" s="19" t="s">
        <v>38</v>
      </c>
      <c r="BO41" s="40">
        <v>0.33450000000000002</v>
      </c>
      <c r="BP41" s="38">
        <v>0.372</v>
      </c>
      <c r="BQ41" s="38">
        <v>0.33899999999999997</v>
      </c>
      <c r="BR41" s="41">
        <v>0.32</v>
      </c>
      <c r="BS41" s="41">
        <v>0.3095</v>
      </c>
      <c r="BT41" s="41">
        <v>0.30399999999999999</v>
      </c>
      <c r="BU41" s="42">
        <v>0.28700000000000003</v>
      </c>
      <c r="BV41" s="41">
        <v>0.312</v>
      </c>
      <c r="BW41" s="42">
        <v>0.1885</v>
      </c>
      <c r="BX41" s="42">
        <v>0.29749999999999999</v>
      </c>
      <c r="BY41" s="85">
        <f>(0.398+0.4)/2</f>
        <v>0.39900000000000002</v>
      </c>
      <c r="BZ41" s="85">
        <f>(0.344+0.362)/2</f>
        <v>0.35299999999999998</v>
      </c>
      <c r="CA41" s="86">
        <v>0.4945</v>
      </c>
    </row>
    <row r="42" spans="1:79">
      <c r="A42" s="60">
        <v>33</v>
      </c>
      <c r="B42" s="83">
        <v>254630.21045499999</v>
      </c>
      <c r="C42" s="83">
        <v>4505643.6264500003</v>
      </c>
      <c r="D42" s="19" t="s">
        <v>38</v>
      </c>
      <c r="E42" s="19" t="s">
        <v>38</v>
      </c>
      <c r="F42" s="19" t="s">
        <v>38</v>
      </c>
      <c r="G42" s="19" t="s">
        <v>38</v>
      </c>
      <c r="H42" s="19" t="s">
        <v>38</v>
      </c>
      <c r="I42" s="19" t="s">
        <v>38</v>
      </c>
      <c r="J42" s="19" t="s">
        <v>38</v>
      </c>
      <c r="K42" s="19" t="s">
        <v>38</v>
      </c>
      <c r="L42" s="19" t="s">
        <v>38</v>
      </c>
      <c r="M42" s="19" t="s">
        <v>38</v>
      </c>
      <c r="N42" s="23" t="s">
        <v>38</v>
      </c>
      <c r="O42" s="23" t="s">
        <v>38</v>
      </c>
      <c r="P42" s="23" t="s">
        <v>38</v>
      </c>
      <c r="Q42" s="23" t="s">
        <v>38</v>
      </c>
      <c r="R42" s="23" t="s">
        <v>38</v>
      </c>
      <c r="S42" s="23" t="s">
        <v>38</v>
      </c>
      <c r="T42" s="23">
        <v>0.44800000000000001</v>
      </c>
      <c r="U42" s="23">
        <v>0.44800000000000001</v>
      </c>
      <c r="V42" s="23">
        <v>0.443</v>
      </c>
      <c r="W42" s="23">
        <v>0.52800000000000002</v>
      </c>
      <c r="X42" s="23">
        <v>0.51800000000000002</v>
      </c>
      <c r="Y42" s="24">
        <v>0.5</v>
      </c>
      <c r="Z42" s="23">
        <v>0.498</v>
      </c>
      <c r="AA42" s="23">
        <v>0.46700000000000003</v>
      </c>
      <c r="AB42" s="23">
        <v>0.48</v>
      </c>
      <c r="AC42" s="24">
        <v>0.48199999999999998</v>
      </c>
      <c r="AD42" s="16">
        <v>0.51300000000000001</v>
      </c>
      <c r="AE42" s="16">
        <v>0.42099999999999999</v>
      </c>
      <c r="AF42" s="16">
        <v>0.34200000000000003</v>
      </c>
      <c r="AG42" s="16">
        <v>0.313</v>
      </c>
      <c r="AH42" s="16">
        <v>0.24199999999999999</v>
      </c>
      <c r="AI42" s="16">
        <v>0.312</v>
      </c>
      <c r="AJ42" s="16">
        <v>0.29599999999999999</v>
      </c>
      <c r="AK42" s="16">
        <v>0.27900000000000003</v>
      </c>
      <c r="AL42" s="16">
        <v>0.27700000000000002</v>
      </c>
      <c r="AM42" s="16">
        <v>0.438</v>
      </c>
      <c r="AN42" s="40" t="s">
        <v>38</v>
      </c>
      <c r="AO42" s="40" t="s">
        <v>38</v>
      </c>
      <c r="AP42" s="40" t="s">
        <v>38</v>
      </c>
      <c r="AQ42" s="40" t="s">
        <v>38</v>
      </c>
      <c r="AR42" s="40" t="s">
        <v>38</v>
      </c>
      <c r="AS42" s="40" t="s">
        <v>38</v>
      </c>
      <c r="AT42" s="40" t="s">
        <v>38</v>
      </c>
      <c r="AU42" s="40" t="s">
        <v>38</v>
      </c>
      <c r="AV42" s="40" t="s">
        <v>38</v>
      </c>
      <c r="AW42" s="40" t="s">
        <v>38</v>
      </c>
      <c r="AX42" s="40" t="s">
        <v>38</v>
      </c>
      <c r="AY42" s="40" t="s">
        <v>38</v>
      </c>
      <c r="AZ42" s="40" t="s">
        <v>38</v>
      </c>
      <c r="BA42" s="40" t="s">
        <v>38</v>
      </c>
      <c r="BB42" s="40" t="s">
        <v>38</v>
      </c>
      <c r="BC42" s="40" t="s">
        <v>38</v>
      </c>
      <c r="BD42" s="40" t="s">
        <v>38</v>
      </c>
      <c r="BE42" s="40" t="s">
        <v>38</v>
      </c>
      <c r="BF42" s="40" t="s">
        <v>38</v>
      </c>
      <c r="BG42" s="40" t="s">
        <v>38</v>
      </c>
      <c r="BH42" s="40" t="s">
        <v>38</v>
      </c>
      <c r="BI42" s="40" t="s">
        <v>38</v>
      </c>
      <c r="BJ42" s="40" t="s">
        <v>38</v>
      </c>
      <c r="BK42" s="40" t="s">
        <v>38</v>
      </c>
      <c r="BL42" s="40" t="s">
        <v>38</v>
      </c>
      <c r="BM42" s="40" t="s">
        <v>38</v>
      </c>
      <c r="BN42" s="40" t="s">
        <v>38</v>
      </c>
      <c r="BO42" s="40" t="s">
        <v>38</v>
      </c>
      <c r="BP42" s="40" t="s">
        <v>38</v>
      </c>
      <c r="BQ42" s="40" t="s">
        <v>38</v>
      </c>
      <c r="BR42" s="40" t="s">
        <v>38</v>
      </c>
      <c r="BS42" s="40" t="s">
        <v>38</v>
      </c>
      <c r="BT42" s="40" t="s">
        <v>38</v>
      </c>
      <c r="BU42" s="40" t="s">
        <v>38</v>
      </c>
      <c r="BV42" s="40" t="s">
        <v>38</v>
      </c>
      <c r="BW42" s="40" t="s">
        <v>38</v>
      </c>
      <c r="BX42" s="40" t="s">
        <v>38</v>
      </c>
      <c r="BY42" s="69" t="s">
        <v>38</v>
      </c>
      <c r="BZ42" s="69" t="s">
        <v>38</v>
      </c>
      <c r="CA42" s="86" t="s">
        <v>38</v>
      </c>
    </row>
    <row r="43" spans="1:79">
      <c r="A43" s="60">
        <v>34</v>
      </c>
      <c r="B43" s="82">
        <v>254645.629514</v>
      </c>
      <c r="C43" s="82">
        <v>4505638.1997999996</v>
      </c>
      <c r="D43" s="19" t="s">
        <v>38</v>
      </c>
      <c r="E43" s="19">
        <v>9.8500000000000004E-2</v>
      </c>
      <c r="F43" s="19">
        <v>0.13250000000000001</v>
      </c>
      <c r="G43" s="19">
        <v>0.129</v>
      </c>
      <c r="H43" s="19">
        <v>0.14100000000000001</v>
      </c>
      <c r="I43" s="19">
        <v>9.5000000000000001E-2</v>
      </c>
      <c r="J43" s="19">
        <v>9.4500000000000001E-2</v>
      </c>
      <c r="K43" s="19">
        <v>7.350000000000001E-2</v>
      </c>
      <c r="L43" s="19">
        <v>7.1000000000000008E-2</v>
      </c>
      <c r="M43" s="19" t="s">
        <v>38</v>
      </c>
      <c r="N43" s="23" t="s">
        <v>38</v>
      </c>
      <c r="O43" s="23" t="s">
        <v>38</v>
      </c>
      <c r="P43" s="16">
        <v>6.6000000000000003E-2</v>
      </c>
      <c r="Q43" s="16">
        <v>9.35E-2</v>
      </c>
      <c r="R43" s="23" t="s">
        <v>38</v>
      </c>
      <c r="S43" s="16">
        <v>0.124</v>
      </c>
      <c r="T43" s="19" t="s">
        <v>38</v>
      </c>
      <c r="U43" s="19" t="s">
        <v>38</v>
      </c>
      <c r="V43" s="19" t="s">
        <v>38</v>
      </c>
      <c r="W43" s="19" t="s">
        <v>38</v>
      </c>
      <c r="X43" s="19" t="s">
        <v>38</v>
      </c>
      <c r="Y43" s="19" t="s">
        <v>38</v>
      </c>
      <c r="Z43" s="19" t="s">
        <v>38</v>
      </c>
      <c r="AA43" s="19" t="s">
        <v>38</v>
      </c>
      <c r="AB43" s="19" t="s">
        <v>38</v>
      </c>
      <c r="AC43" s="19" t="s">
        <v>38</v>
      </c>
      <c r="AD43" s="19" t="s">
        <v>38</v>
      </c>
      <c r="AE43" s="19" t="s">
        <v>38</v>
      </c>
      <c r="AF43" s="19" t="s">
        <v>38</v>
      </c>
      <c r="AG43" s="19" t="s">
        <v>38</v>
      </c>
      <c r="AH43" s="19" t="s">
        <v>38</v>
      </c>
      <c r="AI43" s="19" t="s">
        <v>38</v>
      </c>
      <c r="AJ43" s="19" t="s">
        <v>38</v>
      </c>
      <c r="AK43" s="19" t="s">
        <v>38</v>
      </c>
      <c r="AL43" s="19" t="s">
        <v>38</v>
      </c>
      <c r="AM43" s="19" t="s">
        <v>38</v>
      </c>
      <c r="AN43" s="40" t="s">
        <v>38</v>
      </c>
      <c r="AO43" s="40" t="s">
        <v>38</v>
      </c>
      <c r="AP43" s="40" t="s">
        <v>38</v>
      </c>
      <c r="AQ43" s="40" t="s">
        <v>38</v>
      </c>
      <c r="AR43" s="40" t="s">
        <v>38</v>
      </c>
      <c r="AS43" s="40" t="s">
        <v>38</v>
      </c>
      <c r="AT43" s="40" t="s">
        <v>38</v>
      </c>
      <c r="AU43" s="40" t="s">
        <v>38</v>
      </c>
      <c r="AV43" s="40" t="s">
        <v>38</v>
      </c>
      <c r="AW43" s="40" t="s">
        <v>38</v>
      </c>
      <c r="AX43" s="40" t="s">
        <v>38</v>
      </c>
      <c r="AY43" s="40" t="s">
        <v>38</v>
      </c>
      <c r="AZ43" s="40" t="s">
        <v>38</v>
      </c>
      <c r="BA43" s="40" t="s">
        <v>38</v>
      </c>
      <c r="BB43" s="40" t="s">
        <v>38</v>
      </c>
      <c r="BC43" s="40" t="s">
        <v>38</v>
      </c>
      <c r="BD43" s="40" t="s">
        <v>38</v>
      </c>
      <c r="BE43" s="40" t="s">
        <v>38</v>
      </c>
      <c r="BF43" s="40" t="s">
        <v>38</v>
      </c>
      <c r="BG43" s="40" t="s">
        <v>38</v>
      </c>
      <c r="BH43" s="40" t="s">
        <v>38</v>
      </c>
      <c r="BI43" s="40" t="s">
        <v>38</v>
      </c>
      <c r="BJ43" s="40" t="s">
        <v>38</v>
      </c>
      <c r="BK43" s="40" t="s">
        <v>38</v>
      </c>
      <c r="BL43" s="40" t="s">
        <v>38</v>
      </c>
      <c r="BM43" s="40" t="s">
        <v>38</v>
      </c>
      <c r="BN43" s="40" t="s">
        <v>38</v>
      </c>
      <c r="BO43" s="40" t="s">
        <v>38</v>
      </c>
      <c r="BP43" s="40" t="s">
        <v>38</v>
      </c>
      <c r="BQ43" s="40" t="s">
        <v>38</v>
      </c>
      <c r="BR43" s="40" t="s">
        <v>38</v>
      </c>
      <c r="BS43" s="40" t="s">
        <v>38</v>
      </c>
      <c r="BT43" s="40" t="s">
        <v>38</v>
      </c>
      <c r="BU43" s="40" t="s">
        <v>38</v>
      </c>
      <c r="BV43" s="41">
        <v>0.10100000000000001</v>
      </c>
      <c r="BW43" s="40" t="s">
        <v>38</v>
      </c>
      <c r="BX43" s="40" t="s">
        <v>38</v>
      </c>
      <c r="BY43" s="85">
        <f>(0.172+0.211)/2</f>
        <v>0.1915</v>
      </c>
      <c r="BZ43" s="85">
        <f>(0.196+0.188)/2</f>
        <v>0.192</v>
      </c>
      <c r="CA43" s="86">
        <v>0.26750000000000002</v>
      </c>
    </row>
    <row r="44" spans="1:79">
      <c r="A44" s="60">
        <v>35</v>
      </c>
      <c r="B44" s="83">
        <v>254670.124698</v>
      </c>
      <c r="C44" s="83">
        <v>4505665.0644100001</v>
      </c>
      <c r="D44" s="19" t="s">
        <v>38</v>
      </c>
      <c r="E44" s="19" t="s">
        <v>38</v>
      </c>
      <c r="F44" s="19" t="s">
        <v>38</v>
      </c>
      <c r="G44" s="19" t="s">
        <v>38</v>
      </c>
      <c r="H44" s="19" t="s">
        <v>38</v>
      </c>
      <c r="I44" s="19" t="s">
        <v>38</v>
      </c>
      <c r="J44" s="19" t="s">
        <v>38</v>
      </c>
      <c r="K44" s="19" t="s">
        <v>38</v>
      </c>
      <c r="L44" s="19" t="s">
        <v>38</v>
      </c>
      <c r="M44" s="19" t="s">
        <v>38</v>
      </c>
      <c r="N44" s="23" t="s">
        <v>38</v>
      </c>
      <c r="O44" s="23" t="s">
        <v>38</v>
      </c>
      <c r="P44" s="23" t="s">
        <v>38</v>
      </c>
      <c r="Q44" s="23" t="s">
        <v>38</v>
      </c>
      <c r="R44" s="23" t="s">
        <v>38</v>
      </c>
      <c r="S44" s="23" t="s">
        <v>38</v>
      </c>
      <c r="T44" s="19" t="s">
        <v>38</v>
      </c>
      <c r="U44" s="19" t="s">
        <v>38</v>
      </c>
      <c r="V44" s="19" t="s">
        <v>38</v>
      </c>
      <c r="W44" s="19" t="s">
        <v>38</v>
      </c>
      <c r="X44" s="19" t="s">
        <v>38</v>
      </c>
      <c r="Y44" s="19" t="s">
        <v>38</v>
      </c>
      <c r="Z44" s="19" t="s">
        <v>38</v>
      </c>
      <c r="AA44" s="19" t="s">
        <v>38</v>
      </c>
      <c r="AB44" s="19" t="s">
        <v>38</v>
      </c>
      <c r="AC44" s="19" t="s">
        <v>38</v>
      </c>
      <c r="AD44" s="19" t="s">
        <v>38</v>
      </c>
      <c r="AE44" s="19" t="s">
        <v>38</v>
      </c>
      <c r="AF44" s="19" t="s">
        <v>38</v>
      </c>
      <c r="AG44" s="19" t="s">
        <v>38</v>
      </c>
      <c r="AH44" s="19" t="s">
        <v>38</v>
      </c>
      <c r="AI44" s="19" t="s">
        <v>38</v>
      </c>
      <c r="AJ44" s="19" t="s">
        <v>38</v>
      </c>
      <c r="AK44" s="19" t="s">
        <v>38</v>
      </c>
      <c r="AL44" s="19" t="s">
        <v>38</v>
      </c>
      <c r="AM44" s="19" t="s">
        <v>38</v>
      </c>
      <c r="AN44" s="40" t="s">
        <v>38</v>
      </c>
      <c r="AO44" s="40" t="s">
        <v>38</v>
      </c>
      <c r="AP44" s="40" t="s">
        <v>38</v>
      </c>
      <c r="AQ44" s="40" t="s">
        <v>38</v>
      </c>
      <c r="AR44" s="40" t="s">
        <v>38</v>
      </c>
      <c r="AS44" s="40" t="s">
        <v>38</v>
      </c>
      <c r="AT44" s="40" t="s">
        <v>38</v>
      </c>
      <c r="AU44" s="40" t="s">
        <v>38</v>
      </c>
      <c r="AV44" s="40" t="s">
        <v>38</v>
      </c>
      <c r="AW44" s="40" t="s">
        <v>38</v>
      </c>
      <c r="AX44" s="40" t="s">
        <v>38</v>
      </c>
      <c r="AY44" s="40" t="s">
        <v>38</v>
      </c>
      <c r="AZ44" s="40" t="s">
        <v>38</v>
      </c>
      <c r="BA44" s="40" t="s">
        <v>38</v>
      </c>
      <c r="BB44" s="40" t="s">
        <v>38</v>
      </c>
      <c r="BC44" s="40" t="s">
        <v>38</v>
      </c>
      <c r="BD44" s="40" t="s">
        <v>38</v>
      </c>
      <c r="BE44" s="40" t="s">
        <v>38</v>
      </c>
      <c r="BF44" s="40" t="s">
        <v>38</v>
      </c>
      <c r="BG44" s="40" t="s">
        <v>38</v>
      </c>
      <c r="BH44" s="40" t="s">
        <v>38</v>
      </c>
      <c r="BI44" s="40" t="s">
        <v>38</v>
      </c>
      <c r="BJ44" s="40" t="s">
        <v>38</v>
      </c>
      <c r="BK44" s="40" t="s">
        <v>38</v>
      </c>
      <c r="BL44" s="40" t="s">
        <v>38</v>
      </c>
      <c r="BM44" s="40" t="s">
        <v>38</v>
      </c>
      <c r="BN44" s="40" t="s">
        <v>38</v>
      </c>
      <c r="BO44" s="40" t="s">
        <v>38</v>
      </c>
      <c r="BP44" s="40" t="s">
        <v>38</v>
      </c>
      <c r="BQ44" s="40" t="s">
        <v>38</v>
      </c>
      <c r="BR44" s="40" t="s">
        <v>38</v>
      </c>
      <c r="BS44" s="40" t="s">
        <v>38</v>
      </c>
      <c r="BT44" s="40" t="s">
        <v>38</v>
      </c>
      <c r="BU44" s="40" t="s">
        <v>38</v>
      </c>
      <c r="BV44" s="40" t="s">
        <v>38</v>
      </c>
      <c r="BW44" s="40" t="s">
        <v>38</v>
      </c>
      <c r="BX44" s="40" t="s">
        <v>38</v>
      </c>
      <c r="BY44" s="69" t="s">
        <v>38</v>
      </c>
      <c r="BZ44" s="69" t="s">
        <v>38</v>
      </c>
      <c r="CA44" s="86" t="s">
        <v>38</v>
      </c>
    </row>
    <row r="45" spans="1:79">
      <c r="A45" s="60">
        <v>36</v>
      </c>
      <c r="B45" s="82">
        <v>254694.327835</v>
      </c>
      <c r="C45" s="82">
        <v>4505677.1803099997</v>
      </c>
      <c r="D45" s="19" t="s">
        <v>38</v>
      </c>
      <c r="E45" s="19" t="s">
        <v>38</v>
      </c>
      <c r="F45" s="19" t="s">
        <v>38</v>
      </c>
      <c r="G45" s="19" t="s">
        <v>38</v>
      </c>
      <c r="H45" s="19" t="s">
        <v>38</v>
      </c>
      <c r="I45" s="19" t="s">
        <v>38</v>
      </c>
      <c r="J45" s="19" t="s">
        <v>38</v>
      </c>
      <c r="K45" s="19" t="s">
        <v>38</v>
      </c>
      <c r="L45" s="19" t="s">
        <v>38</v>
      </c>
      <c r="M45" s="19" t="s">
        <v>38</v>
      </c>
      <c r="N45" s="23" t="s">
        <v>38</v>
      </c>
      <c r="O45" s="23" t="s">
        <v>38</v>
      </c>
      <c r="P45" s="23" t="s">
        <v>38</v>
      </c>
      <c r="Q45" s="23" t="s">
        <v>38</v>
      </c>
      <c r="R45" s="23" t="s">
        <v>38</v>
      </c>
      <c r="S45" s="23" t="s">
        <v>38</v>
      </c>
      <c r="T45" s="19" t="s">
        <v>38</v>
      </c>
      <c r="U45" s="19" t="s">
        <v>38</v>
      </c>
      <c r="V45" s="19" t="s">
        <v>38</v>
      </c>
      <c r="W45" s="19" t="s">
        <v>38</v>
      </c>
      <c r="X45" s="19" t="s">
        <v>38</v>
      </c>
      <c r="Y45" s="19" t="s">
        <v>38</v>
      </c>
      <c r="Z45" s="19" t="s">
        <v>38</v>
      </c>
      <c r="AA45" s="19" t="s">
        <v>38</v>
      </c>
      <c r="AB45" s="19" t="s">
        <v>38</v>
      </c>
      <c r="AC45" s="19" t="s">
        <v>38</v>
      </c>
      <c r="AD45" s="19" t="s">
        <v>38</v>
      </c>
      <c r="AE45" s="19" t="s">
        <v>38</v>
      </c>
      <c r="AF45" s="19" t="s">
        <v>38</v>
      </c>
      <c r="AG45" s="19" t="s">
        <v>38</v>
      </c>
      <c r="AH45" s="19" t="s">
        <v>38</v>
      </c>
      <c r="AI45" s="19" t="s">
        <v>38</v>
      </c>
      <c r="AJ45" s="19" t="s">
        <v>38</v>
      </c>
      <c r="AK45" s="19" t="s">
        <v>38</v>
      </c>
      <c r="AL45" s="19" t="s">
        <v>38</v>
      </c>
      <c r="AM45" s="19" t="s">
        <v>38</v>
      </c>
      <c r="AN45" s="40" t="s">
        <v>38</v>
      </c>
      <c r="AO45" s="40" t="s">
        <v>38</v>
      </c>
      <c r="AP45" s="40" t="s">
        <v>38</v>
      </c>
      <c r="AQ45" s="40" t="s">
        <v>38</v>
      </c>
      <c r="AR45" s="40" t="s">
        <v>38</v>
      </c>
      <c r="AS45" s="40" t="s">
        <v>38</v>
      </c>
      <c r="AT45" s="40" t="s">
        <v>38</v>
      </c>
      <c r="AU45" s="40" t="s">
        <v>38</v>
      </c>
      <c r="AV45" s="40" t="s">
        <v>38</v>
      </c>
      <c r="AW45" s="40" t="s">
        <v>38</v>
      </c>
      <c r="AX45" s="40" t="s">
        <v>38</v>
      </c>
      <c r="AY45" s="40" t="s">
        <v>38</v>
      </c>
      <c r="AZ45" s="40" t="s">
        <v>38</v>
      </c>
      <c r="BA45" s="40" t="s">
        <v>38</v>
      </c>
      <c r="BB45" s="40" t="s">
        <v>38</v>
      </c>
      <c r="BC45" s="40" t="s">
        <v>38</v>
      </c>
      <c r="BD45" s="40" t="s">
        <v>38</v>
      </c>
      <c r="BE45" s="40" t="s">
        <v>38</v>
      </c>
      <c r="BF45" s="40" t="s">
        <v>38</v>
      </c>
      <c r="BG45" s="40" t="s">
        <v>38</v>
      </c>
      <c r="BH45" s="40" t="s">
        <v>38</v>
      </c>
      <c r="BI45" s="40" t="s">
        <v>38</v>
      </c>
      <c r="BJ45" s="40" t="s">
        <v>38</v>
      </c>
      <c r="BK45" s="40" t="s">
        <v>38</v>
      </c>
      <c r="BL45" s="40" t="s">
        <v>38</v>
      </c>
      <c r="BM45" s="40" t="s">
        <v>38</v>
      </c>
      <c r="BN45" s="40" t="s">
        <v>38</v>
      </c>
      <c r="BO45" s="40" t="s">
        <v>38</v>
      </c>
      <c r="BP45" s="40" t="s">
        <v>38</v>
      </c>
      <c r="BQ45" s="40" t="s">
        <v>38</v>
      </c>
      <c r="BR45" s="40" t="s">
        <v>38</v>
      </c>
      <c r="BS45" s="40" t="s">
        <v>38</v>
      </c>
      <c r="BT45" s="40" t="s">
        <v>38</v>
      </c>
      <c r="BU45" s="40" t="s">
        <v>38</v>
      </c>
      <c r="BV45" s="40" t="s">
        <v>38</v>
      </c>
      <c r="BW45" s="40" t="s">
        <v>38</v>
      </c>
      <c r="BX45" s="40" t="s">
        <v>38</v>
      </c>
      <c r="BY45" s="69" t="s">
        <v>38</v>
      </c>
      <c r="BZ45" s="69" t="s">
        <v>38</v>
      </c>
      <c r="CA45" s="86" t="s">
        <v>38</v>
      </c>
    </row>
    <row r="46" spans="1:79">
      <c r="A46" s="60">
        <v>37</v>
      </c>
      <c r="B46" s="82">
        <v>254278.222178</v>
      </c>
      <c r="C46" s="82">
        <v>4505598.09038</v>
      </c>
      <c r="D46" s="19" t="s">
        <v>38</v>
      </c>
      <c r="E46" s="19" t="s">
        <v>38</v>
      </c>
      <c r="F46" s="19" t="s">
        <v>38</v>
      </c>
      <c r="G46" s="19" t="s">
        <v>38</v>
      </c>
      <c r="H46" s="19" t="s">
        <v>38</v>
      </c>
      <c r="I46" s="19" t="s">
        <v>38</v>
      </c>
      <c r="J46" s="19" t="s">
        <v>38</v>
      </c>
      <c r="K46" s="19" t="s">
        <v>38</v>
      </c>
      <c r="L46" s="19" t="s">
        <v>38</v>
      </c>
      <c r="M46" s="19" t="s">
        <v>38</v>
      </c>
      <c r="N46" s="23" t="s">
        <v>38</v>
      </c>
      <c r="O46" s="23" t="s">
        <v>38</v>
      </c>
      <c r="P46" s="23" t="s">
        <v>38</v>
      </c>
      <c r="Q46" s="23" t="s">
        <v>38</v>
      </c>
      <c r="R46" s="23" t="s">
        <v>38</v>
      </c>
      <c r="S46" s="23" t="s">
        <v>38</v>
      </c>
      <c r="T46" s="19" t="s">
        <v>38</v>
      </c>
      <c r="U46" s="19" t="s">
        <v>38</v>
      </c>
      <c r="V46" s="19" t="s">
        <v>38</v>
      </c>
      <c r="W46" s="19" t="s">
        <v>38</v>
      </c>
      <c r="X46" s="19" t="s">
        <v>38</v>
      </c>
      <c r="Y46" s="19" t="s">
        <v>38</v>
      </c>
      <c r="Z46" s="19" t="s">
        <v>38</v>
      </c>
      <c r="AA46" s="19" t="s">
        <v>38</v>
      </c>
      <c r="AB46" s="19" t="s">
        <v>38</v>
      </c>
      <c r="AC46" s="19" t="s">
        <v>38</v>
      </c>
      <c r="AD46" s="19" t="s">
        <v>38</v>
      </c>
      <c r="AE46" s="19" t="s">
        <v>38</v>
      </c>
      <c r="AF46" s="19" t="s">
        <v>38</v>
      </c>
      <c r="AG46" s="19" t="s">
        <v>38</v>
      </c>
      <c r="AH46" s="19" t="s">
        <v>38</v>
      </c>
      <c r="AI46" s="19" t="s">
        <v>38</v>
      </c>
      <c r="AJ46" s="19" t="s">
        <v>38</v>
      </c>
      <c r="AK46" s="19" t="s">
        <v>38</v>
      </c>
      <c r="AL46" s="19" t="s">
        <v>38</v>
      </c>
      <c r="AM46" s="19" t="s">
        <v>38</v>
      </c>
      <c r="AN46" s="40" t="s">
        <v>38</v>
      </c>
      <c r="AO46" s="40" t="s">
        <v>38</v>
      </c>
      <c r="AP46" s="40" t="s">
        <v>38</v>
      </c>
      <c r="AQ46" s="40" t="s">
        <v>38</v>
      </c>
      <c r="AR46" s="40" t="s">
        <v>38</v>
      </c>
      <c r="AS46" s="40" t="s">
        <v>38</v>
      </c>
      <c r="AT46" s="40" t="s">
        <v>38</v>
      </c>
      <c r="AU46" s="40" t="s">
        <v>38</v>
      </c>
      <c r="AV46" s="40" t="s">
        <v>38</v>
      </c>
      <c r="AW46" s="40" t="s">
        <v>38</v>
      </c>
      <c r="AX46" s="40" t="s">
        <v>38</v>
      </c>
      <c r="AY46" s="40" t="s">
        <v>38</v>
      </c>
      <c r="AZ46" s="40" t="s">
        <v>38</v>
      </c>
      <c r="BA46" s="40" t="s">
        <v>38</v>
      </c>
      <c r="BB46" s="40" t="s">
        <v>38</v>
      </c>
      <c r="BC46" s="40" t="s">
        <v>38</v>
      </c>
      <c r="BD46" s="40" t="s">
        <v>38</v>
      </c>
      <c r="BE46" s="40" t="s">
        <v>38</v>
      </c>
      <c r="BF46" s="40" t="s">
        <v>38</v>
      </c>
      <c r="BG46" s="40" t="s">
        <v>38</v>
      </c>
      <c r="BH46" s="40" t="s">
        <v>38</v>
      </c>
      <c r="BI46" s="40" t="s">
        <v>38</v>
      </c>
      <c r="BJ46" s="40" t="s">
        <v>38</v>
      </c>
      <c r="BK46" s="40" t="s">
        <v>38</v>
      </c>
      <c r="BL46" s="40" t="s">
        <v>38</v>
      </c>
      <c r="BM46" s="40" t="s">
        <v>38</v>
      </c>
      <c r="BN46" s="40" t="s">
        <v>38</v>
      </c>
      <c r="BO46" s="40" t="s">
        <v>38</v>
      </c>
      <c r="BP46" s="40" t="s">
        <v>38</v>
      </c>
      <c r="BQ46" s="40" t="s">
        <v>38</v>
      </c>
      <c r="BR46" s="40" t="s">
        <v>38</v>
      </c>
      <c r="BS46" s="40" t="s">
        <v>38</v>
      </c>
      <c r="BT46" s="40" t="s">
        <v>38</v>
      </c>
      <c r="BU46" s="40" t="s">
        <v>38</v>
      </c>
      <c r="BV46" s="40" t="s">
        <v>38</v>
      </c>
      <c r="BW46" s="40" t="s">
        <v>38</v>
      </c>
      <c r="BX46" s="40" t="s">
        <v>38</v>
      </c>
      <c r="BY46" s="69" t="s">
        <v>38</v>
      </c>
      <c r="BZ46" s="69" t="s">
        <v>38</v>
      </c>
      <c r="CA46" s="86" t="s">
        <v>38</v>
      </c>
    </row>
    <row r="47" spans="1:79">
      <c r="A47" s="60">
        <v>38</v>
      </c>
      <c r="B47" s="82">
        <v>254283.86705500001</v>
      </c>
      <c r="C47" s="82">
        <v>4505606.6247800002</v>
      </c>
      <c r="D47" s="19" t="s">
        <v>38</v>
      </c>
      <c r="E47" s="19">
        <v>0.32600000000000001</v>
      </c>
      <c r="F47" s="19">
        <v>0.34299999999999997</v>
      </c>
      <c r="G47" s="19">
        <v>0.36</v>
      </c>
      <c r="H47" s="19">
        <v>0.3695</v>
      </c>
      <c r="I47" s="19">
        <v>0.32500000000000001</v>
      </c>
      <c r="J47" s="19">
        <v>0.30649999999999999</v>
      </c>
      <c r="K47" s="19">
        <v>0.26450000000000001</v>
      </c>
      <c r="L47" s="19">
        <v>0.29399999999999998</v>
      </c>
      <c r="M47" s="19">
        <v>0.27400000000000002</v>
      </c>
      <c r="N47" s="16">
        <v>0.27550000000000002</v>
      </c>
      <c r="O47" s="16">
        <v>0.27200000000000002</v>
      </c>
      <c r="P47" s="16">
        <v>0.26400000000000001</v>
      </c>
      <c r="Q47" s="16">
        <v>0.27800000000000002</v>
      </c>
      <c r="R47" s="16">
        <v>0.3145</v>
      </c>
      <c r="S47" s="16">
        <v>0.32600000000000001</v>
      </c>
      <c r="T47" s="19" t="s">
        <v>38</v>
      </c>
      <c r="U47" s="19" t="s">
        <v>38</v>
      </c>
      <c r="V47" s="19" t="s">
        <v>38</v>
      </c>
      <c r="W47" s="19" t="s">
        <v>38</v>
      </c>
      <c r="X47" s="19" t="s">
        <v>38</v>
      </c>
      <c r="Y47" s="19" t="s">
        <v>38</v>
      </c>
      <c r="Z47" s="19" t="s">
        <v>38</v>
      </c>
      <c r="AA47" s="19" t="s">
        <v>38</v>
      </c>
      <c r="AB47" s="19" t="s">
        <v>38</v>
      </c>
      <c r="AC47" s="19" t="s">
        <v>38</v>
      </c>
      <c r="AD47" s="19" t="s">
        <v>38</v>
      </c>
      <c r="AE47" s="19" t="s">
        <v>38</v>
      </c>
      <c r="AF47" s="19" t="s">
        <v>38</v>
      </c>
      <c r="AG47" s="19" t="s">
        <v>38</v>
      </c>
      <c r="AH47" s="19" t="s">
        <v>38</v>
      </c>
      <c r="AI47" s="19" t="s">
        <v>38</v>
      </c>
      <c r="AJ47" s="19" t="s">
        <v>38</v>
      </c>
      <c r="AK47" s="19" t="s">
        <v>38</v>
      </c>
      <c r="AL47" s="19" t="s">
        <v>38</v>
      </c>
      <c r="AM47" s="19" t="s">
        <v>38</v>
      </c>
      <c r="AN47" s="40">
        <v>0.40300000000000002</v>
      </c>
      <c r="AO47" s="40">
        <v>0.314</v>
      </c>
      <c r="AP47" s="40">
        <v>0.32800000000000001</v>
      </c>
      <c r="AQ47" s="40">
        <v>0.38600000000000001</v>
      </c>
      <c r="AR47" s="40">
        <v>0.36699999999999999</v>
      </c>
      <c r="AS47" s="40">
        <v>0.36099999999999999</v>
      </c>
      <c r="AT47" s="40">
        <v>0.34599999999999997</v>
      </c>
      <c r="AU47" s="40">
        <v>0.35299999999999998</v>
      </c>
      <c r="AV47" s="40">
        <v>0.33300000000000002</v>
      </c>
      <c r="AW47" s="40">
        <v>0.22700000000000001</v>
      </c>
      <c r="AX47" s="40">
        <v>0.29499999999999998</v>
      </c>
      <c r="AY47" s="40">
        <v>0.32300000000000001</v>
      </c>
      <c r="AZ47" s="40">
        <v>0.312</v>
      </c>
      <c r="BA47" s="40">
        <v>0.30099999999999999</v>
      </c>
      <c r="BB47" s="49">
        <v>0.247</v>
      </c>
      <c r="BC47" s="40">
        <v>0.29749999999999999</v>
      </c>
      <c r="BD47" s="40" t="s">
        <v>38</v>
      </c>
      <c r="BE47" s="40" t="s">
        <v>38</v>
      </c>
      <c r="BF47" s="40" t="s">
        <v>38</v>
      </c>
      <c r="BG47" s="40">
        <v>0.38300000000000001</v>
      </c>
      <c r="BH47" s="38">
        <v>0.33650000000000002</v>
      </c>
      <c r="BI47" s="38">
        <v>0.34050000000000002</v>
      </c>
      <c r="BJ47" s="38">
        <v>0.3775</v>
      </c>
      <c r="BK47" s="38">
        <v>0.35549999999999998</v>
      </c>
      <c r="BL47" s="38">
        <v>0.33200000000000002</v>
      </c>
      <c r="BM47" s="38">
        <v>0.36499999999999999</v>
      </c>
      <c r="BN47" s="40">
        <v>0.373</v>
      </c>
      <c r="BO47" s="40">
        <v>0.36799999999999999</v>
      </c>
      <c r="BP47" s="38">
        <v>0.34749999999999998</v>
      </c>
      <c r="BQ47" s="38">
        <v>0.30549999999999999</v>
      </c>
      <c r="BR47" s="41">
        <v>0.32500000000000001</v>
      </c>
      <c r="BS47" s="41">
        <v>0.30499999999999999</v>
      </c>
      <c r="BT47" s="41">
        <v>0.28849999999999998</v>
      </c>
      <c r="BU47" s="42">
        <v>0.3135</v>
      </c>
      <c r="BV47" s="41">
        <v>0.38200000000000001</v>
      </c>
      <c r="BW47" s="42">
        <v>0.30649999999999999</v>
      </c>
      <c r="BX47" s="42">
        <v>0.309</v>
      </c>
      <c r="BY47" s="85">
        <f>(0.349+0.343)/2</f>
        <v>0.34599999999999997</v>
      </c>
      <c r="BZ47" s="85">
        <f>(0.483+0.485)/2</f>
        <v>0.48399999999999999</v>
      </c>
      <c r="CA47" s="86">
        <v>0.35199999999999998</v>
      </c>
    </row>
    <row r="48" spans="1:79">
      <c r="A48" s="60">
        <v>39</v>
      </c>
      <c r="B48" s="83">
        <v>254326.89087</v>
      </c>
      <c r="C48" s="83">
        <v>4505589.7420199998</v>
      </c>
      <c r="D48" s="19" t="s">
        <v>38</v>
      </c>
      <c r="E48" s="19" t="s">
        <v>38</v>
      </c>
      <c r="F48" s="19" t="s">
        <v>38</v>
      </c>
      <c r="G48" s="19" t="s">
        <v>38</v>
      </c>
      <c r="H48" s="19" t="s">
        <v>38</v>
      </c>
      <c r="I48" s="19" t="s">
        <v>38</v>
      </c>
      <c r="J48" s="19" t="s">
        <v>38</v>
      </c>
      <c r="K48" s="19" t="s">
        <v>38</v>
      </c>
      <c r="L48" s="19" t="s">
        <v>38</v>
      </c>
      <c r="M48" s="19" t="s">
        <v>38</v>
      </c>
      <c r="N48" s="23" t="s">
        <v>38</v>
      </c>
      <c r="O48" s="23" t="s">
        <v>38</v>
      </c>
      <c r="P48" s="23" t="s">
        <v>38</v>
      </c>
      <c r="Q48" s="23" t="s">
        <v>38</v>
      </c>
      <c r="R48" s="23" t="s">
        <v>38</v>
      </c>
      <c r="S48" s="23" t="s">
        <v>38</v>
      </c>
      <c r="T48" s="23">
        <v>0.51900000000000002</v>
      </c>
      <c r="U48" s="23">
        <v>0.504</v>
      </c>
      <c r="V48" s="23">
        <v>0.57099999999999995</v>
      </c>
      <c r="W48" s="23" t="s">
        <v>38</v>
      </c>
      <c r="X48" s="23">
        <v>0.66100000000000003</v>
      </c>
      <c r="Y48" s="24">
        <v>0.63800000000000001</v>
      </c>
      <c r="Z48" s="23">
        <v>0.67</v>
      </c>
      <c r="AA48" s="23">
        <v>0.627</v>
      </c>
      <c r="AB48" s="23">
        <v>0.61899999999999999</v>
      </c>
      <c r="AC48" s="24" t="s">
        <v>38</v>
      </c>
      <c r="AD48" s="16">
        <v>0.499</v>
      </c>
      <c r="AE48" s="16">
        <v>0.47299999999999998</v>
      </c>
      <c r="AF48" s="16">
        <v>0.42399999999999999</v>
      </c>
      <c r="AG48" s="16">
        <v>0.42599999999999999</v>
      </c>
      <c r="AH48" s="16">
        <v>0.30299999999999999</v>
      </c>
      <c r="AI48" s="16">
        <v>0.376</v>
      </c>
      <c r="AJ48" s="16">
        <v>0.40899999999999997</v>
      </c>
      <c r="AK48" s="16">
        <v>0.34300000000000003</v>
      </c>
      <c r="AL48" s="16" t="s">
        <v>38</v>
      </c>
      <c r="AM48" s="16">
        <v>0.51300000000000001</v>
      </c>
      <c r="AN48" s="40" t="s">
        <v>38</v>
      </c>
      <c r="AO48" s="40" t="s">
        <v>38</v>
      </c>
      <c r="AP48" s="40" t="s">
        <v>38</v>
      </c>
      <c r="AQ48" s="40" t="s">
        <v>38</v>
      </c>
      <c r="AR48" s="40" t="s">
        <v>38</v>
      </c>
      <c r="AS48" s="40" t="s">
        <v>38</v>
      </c>
      <c r="AT48" s="40" t="s">
        <v>38</v>
      </c>
      <c r="AU48" s="40" t="s">
        <v>38</v>
      </c>
      <c r="AV48" s="40" t="s">
        <v>38</v>
      </c>
      <c r="AW48" s="40" t="s">
        <v>38</v>
      </c>
      <c r="AX48" s="40" t="s">
        <v>38</v>
      </c>
      <c r="AY48" s="40" t="s">
        <v>38</v>
      </c>
      <c r="AZ48" s="40" t="s">
        <v>38</v>
      </c>
      <c r="BA48" s="40" t="s">
        <v>38</v>
      </c>
      <c r="BB48" s="40" t="s">
        <v>38</v>
      </c>
      <c r="BC48" s="40" t="s">
        <v>38</v>
      </c>
      <c r="BD48" s="40" t="s">
        <v>38</v>
      </c>
      <c r="BE48" s="40" t="s">
        <v>38</v>
      </c>
      <c r="BF48" s="40" t="s">
        <v>38</v>
      </c>
      <c r="BG48" s="40" t="s">
        <v>38</v>
      </c>
      <c r="BH48" s="40" t="s">
        <v>38</v>
      </c>
      <c r="BI48" s="40" t="s">
        <v>38</v>
      </c>
      <c r="BJ48" s="40" t="s">
        <v>38</v>
      </c>
      <c r="BK48" s="40" t="s">
        <v>38</v>
      </c>
      <c r="BL48" s="40" t="s">
        <v>38</v>
      </c>
      <c r="BM48" s="40" t="s">
        <v>38</v>
      </c>
      <c r="BN48" s="40" t="s">
        <v>38</v>
      </c>
      <c r="BO48" s="40" t="s">
        <v>38</v>
      </c>
      <c r="BP48" s="40" t="s">
        <v>38</v>
      </c>
      <c r="BQ48" s="40" t="s">
        <v>38</v>
      </c>
      <c r="BR48" s="40" t="s">
        <v>38</v>
      </c>
      <c r="BS48" s="40" t="s">
        <v>38</v>
      </c>
      <c r="BT48" s="40" t="s">
        <v>38</v>
      </c>
      <c r="BU48" s="40" t="s">
        <v>38</v>
      </c>
      <c r="BV48" s="40" t="s">
        <v>38</v>
      </c>
      <c r="BW48" s="40" t="s">
        <v>38</v>
      </c>
      <c r="BX48" s="40" t="s">
        <v>38</v>
      </c>
      <c r="BY48" s="69" t="s">
        <v>38</v>
      </c>
      <c r="BZ48" s="69" t="s">
        <v>38</v>
      </c>
      <c r="CA48" s="86" t="s">
        <v>38</v>
      </c>
    </row>
    <row r="49" spans="1:79">
      <c r="A49" s="60">
        <v>40</v>
      </c>
      <c r="B49" s="82">
        <v>254322.92004600001</v>
      </c>
      <c r="C49" s="82">
        <v>4505620.3210300002</v>
      </c>
      <c r="D49" s="19" t="s">
        <v>38</v>
      </c>
      <c r="E49" s="19" t="s">
        <v>38</v>
      </c>
      <c r="F49" s="19" t="s">
        <v>38</v>
      </c>
      <c r="G49" s="19" t="s">
        <v>38</v>
      </c>
      <c r="H49" s="19" t="s">
        <v>38</v>
      </c>
      <c r="I49" s="19" t="s">
        <v>38</v>
      </c>
      <c r="J49" s="19" t="s">
        <v>38</v>
      </c>
      <c r="K49" s="19" t="s">
        <v>38</v>
      </c>
      <c r="L49" s="19" t="s">
        <v>38</v>
      </c>
      <c r="M49" s="19" t="s">
        <v>38</v>
      </c>
      <c r="N49" s="23" t="s">
        <v>38</v>
      </c>
      <c r="O49" s="23" t="s">
        <v>38</v>
      </c>
      <c r="P49" s="23" t="s">
        <v>38</v>
      </c>
      <c r="Q49" s="23" t="s">
        <v>38</v>
      </c>
      <c r="R49" s="23" t="s">
        <v>38</v>
      </c>
      <c r="S49" s="23" t="s">
        <v>38</v>
      </c>
      <c r="T49" s="19" t="s">
        <v>38</v>
      </c>
      <c r="U49" s="19" t="s">
        <v>38</v>
      </c>
      <c r="V49" s="19" t="s">
        <v>38</v>
      </c>
      <c r="W49" s="19" t="s">
        <v>38</v>
      </c>
      <c r="X49" s="19" t="s">
        <v>38</v>
      </c>
      <c r="Y49" s="19" t="s">
        <v>38</v>
      </c>
      <c r="Z49" s="19" t="s">
        <v>38</v>
      </c>
      <c r="AA49" s="19" t="s">
        <v>38</v>
      </c>
      <c r="AB49" s="19" t="s">
        <v>38</v>
      </c>
      <c r="AC49" s="19" t="s">
        <v>38</v>
      </c>
      <c r="AD49" s="19" t="s">
        <v>38</v>
      </c>
      <c r="AE49" s="19" t="s">
        <v>38</v>
      </c>
      <c r="AF49" s="19" t="s">
        <v>38</v>
      </c>
      <c r="AG49" s="19" t="s">
        <v>38</v>
      </c>
      <c r="AH49" s="19" t="s">
        <v>38</v>
      </c>
      <c r="AI49" s="19" t="s">
        <v>38</v>
      </c>
      <c r="AJ49" s="19" t="s">
        <v>38</v>
      </c>
      <c r="AK49" s="19" t="s">
        <v>38</v>
      </c>
      <c r="AL49" s="19" t="s">
        <v>38</v>
      </c>
      <c r="AM49" s="19" t="s">
        <v>38</v>
      </c>
      <c r="AN49" s="40" t="s">
        <v>38</v>
      </c>
      <c r="AO49" s="40" t="s">
        <v>38</v>
      </c>
      <c r="AP49" s="40" t="s">
        <v>38</v>
      </c>
      <c r="AQ49" s="40" t="s">
        <v>38</v>
      </c>
      <c r="AR49" s="40" t="s">
        <v>38</v>
      </c>
      <c r="AS49" s="40" t="s">
        <v>38</v>
      </c>
      <c r="AT49" s="40" t="s">
        <v>38</v>
      </c>
      <c r="AU49" s="40" t="s">
        <v>38</v>
      </c>
      <c r="AV49" s="40" t="s">
        <v>38</v>
      </c>
      <c r="AW49" s="40" t="s">
        <v>38</v>
      </c>
      <c r="AX49" s="40" t="s">
        <v>38</v>
      </c>
      <c r="AY49" s="40" t="s">
        <v>38</v>
      </c>
      <c r="AZ49" s="40" t="s">
        <v>38</v>
      </c>
      <c r="BA49" s="40" t="s">
        <v>38</v>
      </c>
      <c r="BB49" s="40" t="s">
        <v>38</v>
      </c>
      <c r="BC49" s="40" t="s">
        <v>38</v>
      </c>
      <c r="BD49" s="40" t="s">
        <v>38</v>
      </c>
      <c r="BE49" s="40" t="s">
        <v>38</v>
      </c>
      <c r="BF49" s="40" t="s">
        <v>38</v>
      </c>
      <c r="BG49" s="40" t="s">
        <v>38</v>
      </c>
      <c r="BH49" s="40" t="s">
        <v>38</v>
      </c>
      <c r="BI49" s="40" t="s">
        <v>38</v>
      </c>
      <c r="BJ49" s="40" t="s">
        <v>38</v>
      </c>
      <c r="BK49" s="40" t="s">
        <v>38</v>
      </c>
      <c r="BL49" s="40" t="s">
        <v>38</v>
      </c>
      <c r="BM49" s="40" t="s">
        <v>38</v>
      </c>
      <c r="BN49" s="40" t="s">
        <v>38</v>
      </c>
      <c r="BO49" s="40" t="s">
        <v>38</v>
      </c>
      <c r="BP49" s="40" t="s">
        <v>38</v>
      </c>
      <c r="BQ49" s="40" t="s">
        <v>38</v>
      </c>
      <c r="BR49" s="40" t="s">
        <v>38</v>
      </c>
      <c r="BS49" s="40" t="s">
        <v>38</v>
      </c>
      <c r="BT49" s="40" t="s">
        <v>38</v>
      </c>
      <c r="BU49" s="40" t="s">
        <v>38</v>
      </c>
      <c r="BV49" s="40" t="s">
        <v>38</v>
      </c>
      <c r="BW49" s="40" t="s">
        <v>38</v>
      </c>
      <c r="BX49" s="40" t="s">
        <v>38</v>
      </c>
      <c r="BY49" s="85" t="s">
        <v>38</v>
      </c>
      <c r="BZ49" s="85" t="s">
        <v>38</v>
      </c>
      <c r="CA49" s="86" t="s">
        <v>38</v>
      </c>
    </row>
    <row r="50" spans="1:79">
      <c r="A50" s="60">
        <v>41</v>
      </c>
      <c r="B50" s="82">
        <v>254361.30648100001</v>
      </c>
      <c r="C50" s="82">
        <v>4505599.5975200003</v>
      </c>
      <c r="D50" s="19" t="s">
        <v>38</v>
      </c>
      <c r="E50" s="19" t="s">
        <v>38</v>
      </c>
      <c r="F50" s="19" t="s">
        <v>38</v>
      </c>
      <c r="G50" s="19" t="s">
        <v>38</v>
      </c>
      <c r="H50" s="19" t="s">
        <v>38</v>
      </c>
      <c r="I50" s="19" t="s">
        <v>38</v>
      </c>
      <c r="J50" s="19" t="s">
        <v>38</v>
      </c>
      <c r="K50" s="19" t="s">
        <v>38</v>
      </c>
      <c r="L50" s="19" t="s">
        <v>38</v>
      </c>
      <c r="M50" s="19" t="s">
        <v>38</v>
      </c>
      <c r="N50" s="23" t="s">
        <v>38</v>
      </c>
      <c r="O50" s="23" t="s">
        <v>38</v>
      </c>
      <c r="P50" s="23" t="s">
        <v>38</v>
      </c>
      <c r="Q50" s="23" t="s">
        <v>38</v>
      </c>
      <c r="R50" s="23" t="s">
        <v>38</v>
      </c>
      <c r="S50" s="23" t="s">
        <v>38</v>
      </c>
      <c r="T50" s="19" t="s">
        <v>38</v>
      </c>
      <c r="U50" s="19" t="s">
        <v>38</v>
      </c>
      <c r="V50" s="19" t="s">
        <v>38</v>
      </c>
      <c r="W50" s="19" t="s">
        <v>38</v>
      </c>
      <c r="X50" s="19" t="s">
        <v>38</v>
      </c>
      <c r="Y50" s="19" t="s">
        <v>38</v>
      </c>
      <c r="Z50" s="19" t="s">
        <v>38</v>
      </c>
      <c r="AA50" s="19" t="s">
        <v>38</v>
      </c>
      <c r="AB50" s="19" t="s">
        <v>38</v>
      </c>
      <c r="AC50" s="19" t="s">
        <v>38</v>
      </c>
      <c r="AD50" s="19" t="s">
        <v>38</v>
      </c>
      <c r="AE50" s="19" t="s">
        <v>38</v>
      </c>
      <c r="AF50" s="19" t="s">
        <v>38</v>
      </c>
      <c r="AG50" s="19" t="s">
        <v>38</v>
      </c>
      <c r="AH50" s="19" t="s">
        <v>38</v>
      </c>
      <c r="AI50" s="19" t="s">
        <v>38</v>
      </c>
      <c r="AJ50" s="19" t="s">
        <v>38</v>
      </c>
      <c r="AK50" s="19" t="s">
        <v>38</v>
      </c>
      <c r="AL50" s="19" t="s">
        <v>38</v>
      </c>
      <c r="AM50" s="19" t="s">
        <v>38</v>
      </c>
      <c r="AN50" s="40" t="s">
        <v>38</v>
      </c>
      <c r="AO50" s="40" t="s">
        <v>38</v>
      </c>
      <c r="AP50" s="40" t="s">
        <v>38</v>
      </c>
      <c r="AQ50" s="40" t="s">
        <v>38</v>
      </c>
      <c r="AR50" s="40" t="s">
        <v>38</v>
      </c>
      <c r="AS50" s="40" t="s">
        <v>38</v>
      </c>
      <c r="AT50" s="40" t="s">
        <v>38</v>
      </c>
      <c r="AU50" s="40" t="s">
        <v>38</v>
      </c>
      <c r="AV50" s="40" t="s">
        <v>38</v>
      </c>
      <c r="AW50" s="40" t="s">
        <v>38</v>
      </c>
      <c r="AX50" s="40" t="s">
        <v>38</v>
      </c>
      <c r="AY50" s="40" t="s">
        <v>38</v>
      </c>
      <c r="AZ50" s="40" t="s">
        <v>38</v>
      </c>
      <c r="BA50" s="40" t="s">
        <v>38</v>
      </c>
      <c r="BB50" s="40" t="s">
        <v>38</v>
      </c>
      <c r="BC50" s="40" t="s">
        <v>38</v>
      </c>
      <c r="BD50" s="40" t="s">
        <v>38</v>
      </c>
      <c r="BE50" s="40" t="s">
        <v>38</v>
      </c>
      <c r="BF50" s="40" t="s">
        <v>38</v>
      </c>
      <c r="BG50" s="40" t="s">
        <v>38</v>
      </c>
      <c r="BH50" s="40" t="s">
        <v>38</v>
      </c>
      <c r="BI50" s="40" t="s">
        <v>38</v>
      </c>
      <c r="BJ50" s="40" t="s">
        <v>38</v>
      </c>
      <c r="BK50" s="40" t="s">
        <v>38</v>
      </c>
      <c r="BL50" s="40" t="s">
        <v>38</v>
      </c>
      <c r="BM50" s="40" t="s">
        <v>38</v>
      </c>
      <c r="BN50" s="40" t="s">
        <v>38</v>
      </c>
      <c r="BO50" s="40" t="s">
        <v>38</v>
      </c>
      <c r="BP50" s="40" t="s">
        <v>38</v>
      </c>
      <c r="BQ50" s="40" t="s">
        <v>38</v>
      </c>
      <c r="BR50" s="40" t="s">
        <v>38</v>
      </c>
      <c r="BS50" s="40" t="s">
        <v>38</v>
      </c>
      <c r="BT50" s="40" t="s">
        <v>38</v>
      </c>
      <c r="BU50" s="40" t="s">
        <v>38</v>
      </c>
      <c r="BV50" s="40" t="s">
        <v>38</v>
      </c>
      <c r="BW50" s="40" t="s">
        <v>38</v>
      </c>
      <c r="BX50" s="40" t="s">
        <v>38</v>
      </c>
      <c r="BY50" s="69" t="s">
        <v>38</v>
      </c>
      <c r="BZ50" s="69" t="s">
        <v>38</v>
      </c>
      <c r="CA50" s="86" t="s">
        <v>38</v>
      </c>
    </row>
    <row r="51" spans="1:79">
      <c r="A51" s="60">
        <v>42</v>
      </c>
      <c r="B51" s="83">
        <v>254379.907389</v>
      </c>
      <c r="C51" s="83">
        <v>4505630.6267799996</v>
      </c>
      <c r="D51" s="19" t="s">
        <v>38</v>
      </c>
      <c r="E51" s="19" t="s">
        <v>38</v>
      </c>
      <c r="F51" s="19" t="s">
        <v>38</v>
      </c>
      <c r="G51" s="19" t="s">
        <v>38</v>
      </c>
      <c r="H51" s="19" t="s">
        <v>38</v>
      </c>
      <c r="I51" s="19" t="s">
        <v>38</v>
      </c>
      <c r="J51" s="19" t="s">
        <v>38</v>
      </c>
      <c r="K51" s="19" t="s">
        <v>38</v>
      </c>
      <c r="L51" s="19" t="s">
        <v>38</v>
      </c>
      <c r="M51" s="19" t="s">
        <v>38</v>
      </c>
      <c r="N51" s="23" t="s">
        <v>38</v>
      </c>
      <c r="O51" s="23" t="s">
        <v>38</v>
      </c>
      <c r="P51" s="23" t="s">
        <v>38</v>
      </c>
      <c r="Q51" s="23" t="s">
        <v>38</v>
      </c>
      <c r="R51" s="23" t="s">
        <v>38</v>
      </c>
      <c r="S51" s="23" t="s">
        <v>38</v>
      </c>
      <c r="T51" s="19" t="s">
        <v>38</v>
      </c>
      <c r="U51" s="19" t="s">
        <v>38</v>
      </c>
      <c r="V51" s="19" t="s">
        <v>38</v>
      </c>
      <c r="W51" s="19" t="s">
        <v>38</v>
      </c>
      <c r="X51" s="19" t="s">
        <v>38</v>
      </c>
      <c r="Y51" s="19" t="s">
        <v>38</v>
      </c>
      <c r="Z51" s="19" t="s">
        <v>38</v>
      </c>
      <c r="AA51" s="19" t="s">
        <v>38</v>
      </c>
      <c r="AB51" s="19" t="s">
        <v>38</v>
      </c>
      <c r="AC51" s="19" t="s">
        <v>38</v>
      </c>
      <c r="AD51" s="19" t="s">
        <v>38</v>
      </c>
      <c r="AE51" s="19" t="s">
        <v>38</v>
      </c>
      <c r="AF51" s="19" t="s">
        <v>38</v>
      </c>
      <c r="AG51" s="19" t="s">
        <v>38</v>
      </c>
      <c r="AH51" s="19" t="s">
        <v>38</v>
      </c>
      <c r="AI51" s="19" t="s">
        <v>38</v>
      </c>
      <c r="AJ51" s="19" t="s">
        <v>38</v>
      </c>
      <c r="AK51" s="19" t="s">
        <v>38</v>
      </c>
      <c r="AL51" s="19" t="s">
        <v>38</v>
      </c>
      <c r="AM51" s="19" t="s">
        <v>38</v>
      </c>
      <c r="AN51" s="40" t="s">
        <v>38</v>
      </c>
      <c r="AO51" s="40" t="s">
        <v>38</v>
      </c>
      <c r="AP51" s="40" t="s">
        <v>38</v>
      </c>
      <c r="AQ51" s="40" t="s">
        <v>38</v>
      </c>
      <c r="AR51" s="40" t="s">
        <v>38</v>
      </c>
      <c r="AS51" s="40" t="s">
        <v>38</v>
      </c>
      <c r="AT51" s="40" t="s">
        <v>38</v>
      </c>
      <c r="AU51" s="40" t="s">
        <v>38</v>
      </c>
      <c r="AV51" s="40" t="s">
        <v>38</v>
      </c>
      <c r="AW51" s="40" t="s">
        <v>38</v>
      </c>
      <c r="AX51" s="40" t="s">
        <v>38</v>
      </c>
      <c r="AY51" s="40" t="s">
        <v>38</v>
      </c>
      <c r="AZ51" s="40" t="s">
        <v>38</v>
      </c>
      <c r="BA51" s="40" t="s">
        <v>38</v>
      </c>
      <c r="BB51" s="40" t="s">
        <v>38</v>
      </c>
      <c r="BC51" s="40" t="s">
        <v>38</v>
      </c>
      <c r="BD51" s="40" t="s">
        <v>38</v>
      </c>
      <c r="BE51" s="40" t="s">
        <v>38</v>
      </c>
      <c r="BF51" s="40" t="s">
        <v>38</v>
      </c>
      <c r="BG51" s="40" t="s">
        <v>38</v>
      </c>
      <c r="BH51" s="40" t="s">
        <v>38</v>
      </c>
      <c r="BI51" s="40" t="s">
        <v>38</v>
      </c>
      <c r="BJ51" s="40" t="s">
        <v>38</v>
      </c>
      <c r="BK51" s="40" t="s">
        <v>38</v>
      </c>
      <c r="BL51" s="40" t="s">
        <v>38</v>
      </c>
      <c r="BM51" s="40" t="s">
        <v>38</v>
      </c>
      <c r="BN51" s="40" t="s">
        <v>38</v>
      </c>
      <c r="BO51" s="40" t="s">
        <v>38</v>
      </c>
      <c r="BP51" s="40" t="s">
        <v>38</v>
      </c>
      <c r="BQ51" s="40" t="s">
        <v>38</v>
      </c>
      <c r="BR51" s="40" t="s">
        <v>38</v>
      </c>
      <c r="BS51" s="40" t="s">
        <v>38</v>
      </c>
      <c r="BT51" s="40" t="s">
        <v>38</v>
      </c>
      <c r="BU51" s="40" t="s">
        <v>38</v>
      </c>
      <c r="BV51" s="40" t="s">
        <v>38</v>
      </c>
      <c r="BW51" s="40" t="s">
        <v>38</v>
      </c>
      <c r="BX51" s="40" t="s">
        <v>38</v>
      </c>
      <c r="BY51" s="69" t="s">
        <v>38</v>
      </c>
      <c r="BZ51" s="69" t="s">
        <v>38</v>
      </c>
      <c r="CA51" s="86" t="s">
        <v>38</v>
      </c>
    </row>
    <row r="52" spans="1:79">
      <c r="A52" s="60">
        <v>43</v>
      </c>
      <c r="B52" s="83">
        <v>254361.50803699999</v>
      </c>
      <c r="C52" s="83">
        <v>4505641.8651099997</v>
      </c>
      <c r="D52" s="19" t="s">
        <v>38</v>
      </c>
      <c r="E52" s="19" t="s">
        <v>38</v>
      </c>
      <c r="F52" s="19" t="s">
        <v>38</v>
      </c>
      <c r="G52" s="19" t="s">
        <v>38</v>
      </c>
      <c r="H52" s="19" t="s">
        <v>38</v>
      </c>
      <c r="I52" s="19" t="s">
        <v>38</v>
      </c>
      <c r="J52" s="19" t="s">
        <v>38</v>
      </c>
      <c r="K52" s="19" t="s">
        <v>38</v>
      </c>
      <c r="L52" s="19" t="s">
        <v>38</v>
      </c>
      <c r="M52" s="19" t="s">
        <v>38</v>
      </c>
      <c r="N52" s="23" t="s">
        <v>38</v>
      </c>
      <c r="O52" s="23" t="s">
        <v>38</v>
      </c>
      <c r="P52" s="23" t="s">
        <v>38</v>
      </c>
      <c r="Q52" s="23" t="s">
        <v>38</v>
      </c>
      <c r="R52" s="23" t="s">
        <v>38</v>
      </c>
      <c r="S52" s="23" t="s">
        <v>38</v>
      </c>
      <c r="T52" s="19" t="s">
        <v>38</v>
      </c>
      <c r="U52" s="19" t="s">
        <v>38</v>
      </c>
      <c r="V52" s="19" t="s">
        <v>38</v>
      </c>
      <c r="W52" s="19" t="s">
        <v>38</v>
      </c>
      <c r="X52" s="19" t="s">
        <v>38</v>
      </c>
      <c r="Y52" s="19" t="s">
        <v>38</v>
      </c>
      <c r="Z52" s="19" t="s">
        <v>38</v>
      </c>
      <c r="AA52" s="19" t="s">
        <v>38</v>
      </c>
      <c r="AB52" s="19" t="s">
        <v>38</v>
      </c>
      <c r="AC52" s="19" t="s">
        <v>38</v>
      </c>
      <c r="AD52" s="19" t="s">
        <v>38</v>
      </c>
      <c r="AE52" s="19" t="s">
        <v>38</v>
      </c>
      <c r="AF52" s="19" t="s">
        <v>38</v>
      </c>
      <c r="AG52" s="19" t="s">
        <v>38</v>
      </c>
      <c r="AH52" s="19" t="s">
        <v>38</v>
      </c>
      <c r="AI52" s="19" t="s">
        <v>38</v>
      </c>
      <c r="AJ52" s="19" t="s">
        <v>38</v>
      </c>
      <c r="AK52" s="19" t="s">
        <v>38</v>
      </c>
      <c r="AL52" s="19" t="s">
        <v>38</v>
      </c>
      <c r="AM52" s="19" t="s">
        <v>38</v>
      </c>
      <c r="AN52" s="40" t="s">
        <v>38</v>
      </c>
      <c r="AO52" s="40" t="s">
        <v>38</v>
      </c>
      <c r="AP52" s="40" t="s">
        <v>38</v>
      </c>
      <c r="AQ52" s="40" t="s">
        <v>38</v>
      </c>
      <c r="AR52" s="40" t="s">
        <v>38</v>
      </c>
      <c r="AS52" s="40" t="s">
        <v>38</v>
      </c>
      <c r="AT52" s="40" t="s">
        <v>38</v>
      </c>
      <c r="AU52" s="40" t="s">
        <v>38</v>
      </c>
      <c r="AV52" s="40" t="s">
        <v>38</v>
      </c>
      <c r="AW52" s="40" t="s">
        <v>38</v>
      </c>
      <c r="AX52" s="40" t="s">
        <v>38</v>
      </c>
      <c r="AY52" s="40" t="s">
        <v>38</v>
      </c>
      <c r="AZ52" s="40" t="s">
        <v>38</v>
      </c>
      <c r="BA52" s="40" t="s">
        <v>38</v>
      </c>
      <c r="BB52" s="40" t="s">
        <v>38</v>
      </c>
      <c r="BC52" s="40" t="s">
        <v>38</v>
      </c>
      <c r="BD52" s="40" t="s">
        <v>38</v>
      </c>
      <c r="BE52" s="40" t="s">
        <v>38</v>
      </c>
      <c r="BF52" s="40" t="s">
        <v>38</v>
      </c>
      <c r="BG52" s="40" t="s">
        <v>38</v>
      </c>
      <c r="BH52" s="40" t="s">
        <v>38</v>
      </c>
      <c r="BI52" s="40" t="s">
        <v>38</v>
      </c>
      <c r="BJ52" s="40" t="s">
        <v>38</v>
      </c>
      <c r="BK52" s="40" t="s">
        <v>38</v>
      </c>
      <c r="BL52" s="40" t="s">
        <v>38</v>
      </c>
      <c r="BM52" s="40" t="s">
        <v>38</v>
      </c>
      <c r="BN52" s="40" t="s">
        <v>38</v>
      </c>
      <c r="BO52" s="40" t="s">
        <v>38</v>
      </c>
      <c r="BP52" s="40" t="s">
        <v>38</v>
      </c>
      <c r="BQ52" s="40" t="s">
        <v>38</v>
      </c>
      <c r="BR52" s="40" t="s">
        <v>38</v>
      </c>
      <c r="BS52" s="40" t="s">
        <v>38</v>
      </c>
      <c r="BT52" s="40" t="s">
        <v>38</v>
      </c>
      <c r="BU52" s="40" t="s">
        <v>38</v>
      </c>
      <c r="BV52" s="40" t="s">
        <v>38</v>
      </c>
      <c r="BW52" s="40" t="s">
        <v>38</v>
      </c>
      <c r="BX52" s="40" t="s">
        <v>38</v>
      </c>
      <c r="BY52" s="69" t="s">
        <v>38</v>
      </c>
      <c r="BZ52" s="69" t="s">
        <v>38</v>
      </c>
      <c r="CA52" s="86" t="s">
        <v>38</v>
      </c>
    </row>
    <row r="53" spans="1:79">
      <c r="A53" s="60">
        <v>44</v>
      </c>
      <c r="B53" s="82">
        <v>254358.81478300001</v>
      </c>
      <c r="C53" s="82">
        <v>4505658.5760300001</v>
      </c>
      <c r="D53" s="19">
        <v>0.30249999999999999</v>
      </c>
      <c r="E53" s="19">
        <v>0.157</v>
      </c>
      <c r="F53" s="19">
        <v>0.19950000000000001</v>
      </c>
      <c r="G53" s="19">
        <v>0.20400000000000001</v>
      </c>
      <c r="H53" s="19">
        <v>0.122</v>
      </c>
      <c r="I53" s="19">
        <v>0.15049999999999999</v>
      </c>
      <c r="J53" s="19">
        <v>0.1875</v>
      </c>
      <c r="K53" s="19">
        <v>0.16149999999999998</v>
      </c>
      <c r="L53" s="19">
        <v>0.21100000000000002</v>
      </c>
      <c r="M53" s="19">
        <v>0.17</v>
      </c>
      <c r="N53" s="16">
        <v>0.20700000000000002</v>
      </c>
      <c r="O53" s="16">
        <v>0.17749999999999999</v>
      </c>
      <c r="P53" s="16">
        <v>0.14300000000000002</v>
      </c>
      <c r="Q53" s="16">
        <v>0.1845</v>
      </c>
      <c r="R53" s="16">
        <v>0.2165</v>
      </c>
      <c r="S53" s="16">
        <v>7.8E-2</v>
      </c>
      <c r="T53" s="16">
        <v>0.249</v>
      </c>
      <c r="U53" s="16">
        <v>0.191</v>
      </c>
      <c r="V53" s="16">
        <v>0.24399999999999999</v>
      </c>
      <c r="W53" s="16">
        <v>0.23799999999999999</v>
      </c>
      <c r="X53" s="23">
        <v>0.19500000000000001</v>
      </c>
      <c r="Y53" s="24">
        <v>0.21099999999999999</v>
      </c>
      <c r="Z53" s="23">
        <v>0.21</v>
      </c>
      <c r="AA53" s="23">
        <v>0.20599999999999999</v>
      </c>
      <c r="AB53" s="23">
        <v>0.20399999999999999</v>
      </c>
      <c r="AC53" s="24">
        <v>0.26100000000000001</v>
      </c>
      <c r="AD53" s="16">
        <v>0.23</v>
      </c>
      <c r="AE53" s="16">
        <v>0.224</v>
      </c>
      <c r="AF53" s="16">
        <v>0.20899999999999999</v>
      </c>
      <c r="AG53" s="16">
        <v>0.22800000000000001</v>
      </c>
      <c r="AH53" s="16">
        <v>7.0000000000000007E-2</v>
      </c>
      <c r="AI53" s="16">
        <v>0.18099999999999999</v>
      </c>
      <c r="AJ53" s="16">
        <v>0.13100000000000001</v>
      </c>
      <c r="AK53" s="16">
        <v>0.191</v>
      </c>
      <c r="AL53" s="16" t="s">
        <v>38</v>
      </c>
      <c r="AM53" s="16">
        <v>0.307</v>
      </c>
      <c r="AN53" s="40">
        <v>0.19800000000000001</v>
      </c>
      <c r="AO53" s="40">
        <v>0.159</v>
      </c>
      <c r="AP53" s="40">
        <v>0.26800000000000002</v>
      </c>
      <c r="AQ53" s="40">
        <v>0.249</v>
      </c>
      <c r="AR53" s="40">
        <v>0.19700000000000001</v>
      </c>
      <c r="AS53" s="40">
        <v>0.20599999999999999</v>
      </c>
      <c r="AT53" s="40">
        <v>0.21099999999999999</v>
      </c>
      <c r="AU53" s="40">
        <v>0.189</v>
      </c>
      <c r="AV53" s="40">
        <v>0.22</v>
      </c>
      <c r="AW53" s="40">
        <v>0.19600000000000001</v>
      </c>
      <c r="AX53" s="40">
        <v>0.191</v>
      </c>
      <c r="AY53" s="40">
        <v>0.19800000000000001</v>
      </c>
      <c r="AZ53" s="40">
        <v>0.216</v>
      </c>
      <c r="BA53" s="40">
        <v>0.16800000000000001</v>
      </c>
      <c r="BB53" s="49">
        <v>0.13650000000000001</v>
      </c>
      <c r="BC53" s="40">
        <v>0.27649999999999997</v>
      </c>
      <c r="BD53" s="40" t="s">
        <v>38</v>
      </c>
      <c r="BE53" s="40" t="s">
        <v>38</v>
      </c>
      <c r="BF53" s="40" t="s">
        <v>38</v>
      </c>
      <c r="BG53" s="40">
        <v>0.24249999999999999</v>
      </c>
      <c r="BH53" s="38">
        <v>0.17399999999999999</v>
      </c>
      <c r="BI53" s="39" t="s">
        <v>38</v>
      </c>
      <c r="BJ53" s="38">
        <v>0.22599999999999998</v>
      </c>
      <c r="BK53" s="38">
        <v>0.14849999999999999</v>
      </c>
      <c r="BL53" s="38">
        <v>0.217</v>
      </c>
      <c r="BM53" s="38">
        <v>0.1565</v>
      </c>
      <c r="BN53" s="40">
        <v>0.21249999999999999</v>
      </c>
      <c r="BO53" s="40">
        <v>0.2185</v>
      </c>
      <c r="BP53" s="38">
        <v>0.189</v>
      </c>
      <c r="BQ53" s="38">
        <v>0.14350000000000002</v>
      </c>
      <c r="BR53" s="41">
        <v>0.1925</v>
      </c>
      <c r="BS53" s="41">
        <v>0.16099999999999998</v>
      </c>
      <c r="BT53" s="41">
        <v>0.13200000000000001</v>
      </c>
      <c r="BU53" s="42">
        <v>0.14300000000000002</v>
      </c>
      <c r="BV53" s="41">
        <v>0.13250000000000001</v>
      </c>
      <c r="BW53" s="42">
        <v>0.14749999999999999</v>
      </c>
      <c r="BX53" s="42">
        <v>0.20850000000000002</v>
      </c>
      <c r="BY53" s="85">
        <f>(0.256+0.223)/2</f>
        <v>0.23949999999999999</v>
      </c>
      <c r="BZ53" s="85">
        <f>(0.268+0.294)/2</f>
        <v>0.28100000000000003</v>
      </c>
      <c r="CA53" s="86">
        <v>0.25700000000000001</v>
      </c>
    </row>
    <row r="54" spans="1:79">
      <c r="A54" s="60">
        <v>45</v>
      </c>
      <c r="B54" s="82">
        <v>254403.621078</v>
      </c>
      <c r="C54" s="82">
        <v>4505611.4397299998</v>
      </c>
      <c r="D54" s="19">
        <v>0.29949999999999999</v>
      </c>
      <c r="E54" s="19">
        <v>0.27250000000000002</v>
      </c>
      <c r="F54" s="19">
        <v>0.32</v>
      </c>
      <c r="G54" s="19">
        <v>0.32050000000000001</v>
      </c>
      <c r="H54" s="19">
        <v>0.26600000000000001</v>
      </c>
      <c r="I54" s="19">
        <v>0.24099999999999999</v>
      </c>
      <c r="J54" s="19">
        <v>0.22649999999999998</v>
      </c>
      <c r="K54" s="19">
        <v>0.18049999999999999</v>
      </c>
      <c r="L54" s="19">
        <v>0.19950000000000001</v>
      </c>
      <c r="M54" s="19">
        <v>0.16650000000000001</v>
      </c>
      <c r="N54" s="16">
        <v>0.19450000000000001</v>
      </c>
      <c r="O54" s="16">
        <v>0.1845</v>
      </c>
      <c r="P54" s="16">
        <v>0.17699999999999999</v>
      </c>
      <c r="Q54" s="16">
        <v>0.2485</v>
      </c>
      <c r="R54" s="16">
        <v>0.26350000000000001</v>
      </c>
      <c r="S54" s="16">
        <v>0.254</v>
      </c>
      <c r="T54" s="16">
        <v>0.33800000000000002</v>
      </c>
      <c r="U54" s="16">
        <v>0.32900000000000001</v>
      </c>
      <c r="V54" s="16">
        <v>0.33300000000000002</v>
      </c>
      <c r="W54" s="16">
        <v>0.32700000000000001</v>
      </c>
      <c r="X54" s="23">
        <v>0.36899999999999999</v>
      </c>
      <c r="Y54" s="24">
        <v>0.35699999999999998</v>
      </c>
      <c r="Z54" s="23">
        <v>0.36299999999999999</v>
      </c>
      <c r="AA54" s="23">
        <v>0.34899999999999998</v>
      </c>
      <c r="AB54" s="23">
        <v>0.36399999999999999</v>
      </c>
      <c r="AC54" s="24">
        <v>0.33100000000000002</v>
      </c>
      <c r="AD54" s="16">
        <v>0.29499999999999998</v>
      </c>
      <c r="AE54" s="16">
        <v>0.27800000000000002</v>
      </c>
      <c r="AF54" s="16">
        <v>0.23400000000000001</v>
      </c>
      <c r="AG54" s="16">
        <v>0.22900000000000001</v>
      </c>
      <c r="AH54" s="16">
        <v>0.188</v>
      </c>
      <c r="AI54" s="16">
        <v>0.22500000000000001</v>
      </c>
      <c r="AJ54" s="16">
        <v>0.20799999999999999</v>
      </c>
      <c r="AK54" s="16">
        <v>0.21199999999999999</v>
      </c>
      <c r="AL54" s="16" t="s">
        <v>38</v>
      </c>
      <c r="AM54" s="16">
        <v>0.38700000000000001</v>
      </c>
      <c r="AN54" s="40">
        <v>0.29899999999999999</v>
      </c>
      <c r="AO54" s="40">
        <v>0.21199999999999999</v>
      </c>
      <c r="AP54" s="40">
        <v>0.252</v>
      </c>
      <c r="AQ54" s="40">
        <v>0.26600000000000001</v>
      </c>
      <c r="AR54" s="40">
        <v>0.255</v>
      </c>
      <c r="AS54" s="40">
        <v>0.24</v>
      </c>
      <c r="AT54" s="40">
        <v>0.245</v>
      </c>
      <c r="AU54" s="40">
        <v>0.221</v>
      </c>
      <c r="AV54" s="40">
        <v>0.22</v>
      </c>
      <c r="AW54" s="40">
        <v>0.13300000000000001</v>
      </c>
      <c r="AX54" s="40">
        <v>0.17899999999999999</v>
      </c>
      <c r="AY54" s="40">
        <v>0.246</v>
      </c>
      <c r="AZ54" s="40">
        <v>0.247</v>
      </c>
      <c r="BA54" s="40">
        <v>0.27500000000000002</v>
      </c>
      <c r="BB54" s="49">
        <v>0.1925</v>
      </c>
      <c r="BC54" s="40">
        <v>0.2545</v>
      </c>
      <c r="BD54" s="40" t="s">
        <v>38</v>
      </c>
      <c r="BE54" s="40" t="s">
        <v>38</v>
      </c>
      <c r="BF54" s="40" t="s">
        <v>38</v>
      </c>
      <c r="BG54" s="40">
        <v>0.28249999999999997</v>
      </c>
      <c r="BH54" s="38">
        <v>0.2475</v>
      </c>
      <c r="BI54" s="38">
        <v>0.29749999999999999</v>
      </c>
      <c r="BJ54" s="38">
        <v>0.29949999999999999</v>
      </c>
      <c r="BK54" s="38">
        <v>0.25800000000000001</v>
      </c>
      <c r="BL54" s="38">
        <v>0.27950000000000003</v>
      </c>
      <c r="BM54" s="38">
        <v>0.30449999999999999</v>
      </c>
      <c r="BN54" s="40">
        <v>0.31950000000000001</v>
      </c>
      <c r="BO54" s="40">
        <v>0.29399999999999998</v>
      </c>
      <c r="BP54" s="38">
        <v>0.26950000000000002</v>
      </c>
      <c r="BQ54" s="38">
        <v>0.21299999999999999</v>
      </c>
      <c r="BR54" s="41">
        <v>0.20799999999999999</v>
      </c>
      <c r="BS54" s="40" t="s">
        <v>38</v>
      </c>
      <c r="BT54" s="41">
        <v>0.2215</v>
      </c>
      <c r="BU54" s="42" t="s">
        <v>38</v>
      </c>
      <c r="BV54" s="41">
        <v>0.221</v>
      </c>
      <c r="BW54" s="42">
        <v>0.23549999999999999</v>
      </c>
      <c r="BX54" s="42">
        <v>0.2535</v>
      </c>
      <c r="BY54" s="85">
        <f>(0.321+0.286)/2</f>
        <v>0.30349999999999999</v>
      </c>
      <c r="BZ54" s="85">
        <f>(0.359+0.421)/2</f>
        <v>0.39</v>
      </c>
      <c r="CA54" s="86">
        <v>0.28499999999999998</v>
      </c>
    </row>
    <row r="55" spans="1:79">
      <c r="A55" s="60">
        <v>46</v>
      </c>
      <c r="B55" s="82">
        <v>254407.499473</v>
      </c>
      <c r="C55" s="82">
        <v>4505609.5358499996</v>
      </c>
      <c r="D55" s="19" t="s">
        <v>38</v>
      </c>
      <c r="E55" s="19" t="s">
        <v>38</v>
      </c>
      <c r="F55" s="19" t="s">
        <v>38</v>
      </c>
      <c r="G55" s="19" t="s">
        <v>38</v>
      </c>
      <c r="H55" s="19">
        <v>0.20900000000000002</v>
      </c>
      <c r="I55" s="19">
        <v>0.19500000000000001</v>
      </c>
      <c r="J55" s="19" t="s">
        <v>38</v>
      </c>
      <c r="K55" s="19" t="s">
        <v>38</v>
      </c>
      <c r="L55" s="19" t="s">
        <v>38</v>
      </c>
      <c r="M55" s="19" t="s">
        <v>38</v>
      </c>
      <c r="N55" s="16" t="s">
        <v>38</v>
      </c>
      <c r="O55" s="16" t="s">
        <v>38</v>
      </c>
      <c r="P55" s="16" t="s">
        <v>38</v>
      </c>
      <c r="Q55" s="16" t="s">
        <v>38</v>
      </c>
      <c r="R55" s="16" t="s">
        <v>38</v>
      </c>
      <c r="S55" s="16">
        <v>0.216</v>
      </c>
      <c r="T55" s="16" t="s">
        <v>38</v>
      </c>
      <c r="U55" s="16">
        <v>0.19900000000000001</v>
      </c>
      <c r="V55" s="16" t="s">
        <v>38</v>
      </c>
      <c r="W55" s="16" t="s">
        <v>38</v>
      </c>
      <c r="X55" s="16" t="s">
        <v>38</v>
      </c>
      <c r="Y55" s="16" t="s">
        <v>38</v>
      </c>
      <c r="Z55" s="16" t="s">
        <v>38</v>
      </c>
      <c r="AA55" s="16" t="s">
        <v>38</v>
      </c>
      <c r="AB55" s="16" t="s">
        <v>38</v>
      </c>
      <c r="AC55" s="16" t="s">
        <v>38</v>
      </c>
      <c r="AD55" s="16" t="s">
        <v>38</v>
      </c>
      <c r="AE55" s="16" t="s">
        <v>38</v>
      </c>
      <c r="AF55" s="16" t="s">
        <v>38</v>
      </c>
      <c r="AG55" s="16" t="s">
        <v>38</v>
      </c>
      <c r="AH55" s="16" t="s">
        <v>38</v>
      </c>
      <c r="AI55" s="16" t="s">
        <v>38</v>
      </c>
      <c r="AJ55" s="16" t="s">
        <v>38</v>
      </c>
      <c r="AK55" s="16" t="s">
        <v>38</v>
      </c>
      <c r="AL55" s="16" t="s">
        <v>38</v>
      </c>
      <c r="AM55" s="16" t="s">
        <v>38</v>
      </c>
      <c r="AN55" s="16" t="s">
        <v>38</v>
      </c>
      <c r="AO55" s="16" t="s">
        <v>38</v>
      </c>
      <c r="AP55" s="16" t="s">
        <v>38</v>
      </c>
      <c r="AQ55" s="16" t="s">
        <v>38</v>
      </c>
      <c r="AR55" s="16" t="s">
        <v>38</v>
      </c>
      <c r="AS55" s="16" t="s">
        <v>38</v>
      </c>
      <c r="AT55" s="16" t="s">
        <v>38</v>
      </c>
      <c r="AU55" s="16" t="s">
        <v>38</v>
      </c>
      <c r="AV55" s="16" t="s">
        <v>38</v>
      </c>
      <c r="AW55" s="16" t="s">
        <v>38</v>
      </c>
      <c r="AX55" s="16" t="s">
        <v>38</v>
      </c>
      <c r="AY55" s="16" t="s">
        <v>38</v>
      </c>
      <c r="AZ55" s="16" t="s">
        <v>38</v>
      </c>
      <c r="BA55" s="16" t="s">
        <v>38</v>
      </c>
      <c r="BB55" s="16" t="s">
        <v>38</v>
      </c>
      <c r="BC55" s="16" t="s">
        <v>38</v>
      </c>
      <c r="BD55" s="16" t="s">
        <v>38</v>
      </c>
      <c r="BE55" s="16" t="s">
        <v>38</v>
      </c>
      <c r="BF55" s="16" t="s">
        <v>38</v>
      </c>
      <c r="BG55" s="16" t="s">
        <v>38</v>
      </c>
      <c r="BH55" s="16" t="s">
        <v>38</v>
      </c>
      <c r="BI55" s="16" t="s">
        <v>38</v>
      </c>
      <c r="BJ55" s="16" t="s">
        <v>38</v>
      </c>
      <c r="BK55" s="16" t="s">
        <v>38</v>
      </c>
      <c r="BL55" s="16" t="s">
        <v>38</v>
      </c>
      <c r="BM55" s="16" t="s">
        <v>38</v>
      </c>
      <c r="BN55" s="16" t="s">
        <v>38</v>
      </c>
      <c r="BO55" s="16" t="s">
        <v>38</v>
      </c>
      <c r="BP55" s="16" t="s">
        <v>38</v>
      </c>
      <c r="BQ55" s="16" t="s">
        <v>38</v>
      </c>
      <c r="BR55" s="16" t="s">
        <v>38</v>
      </c>
      <c r="BS55" s="16" t="s">
        <v>38</v>
      </c>
      <c r="BT55" s="16" t="s">
        <v>38</v>
      </c>
      <c r="BU55" s="16" t="s">
        <v>38</v>
      </c>
      <c r="BV55" s="41">
        <v>0.19</v>
      </c>
      <c r="BW55" s="42" t="s">
        <v>38</v>
      </c>
      <c r="BX55" s="42" t="s">
        <v>38</v>
      </c>
      <c r="BY55" s="85" t="s">
        <v>38</v>
      </c>
      <c r="BZ55" s="85" t="s">
        <v>38</v>
      </c>
      <c r="CA55" s="86">
        <v>0.23499999999999999</v>
      </c>
    </row>
    <row r="56" spans="1:79">
      <c r="A56" s="60">
        <v>47</v>
      </c>
      <c r="B56" s="82">
        <v>254415.342535</v>
      </c>
      <c r="C56" s="82">
        <v>4505592.7560700001</v>
      </c>
      <c r="D56" s="19" t="s">
        <v>38</v>
      </c>
      <c r="E56" s="19" t="s">
        <v>38</v>
      </c>
      <c r="F56" s="19">
        <v>0.1575</v>
      </c>
      <c r="G56" s="19" t="s">
        <v>38</v>
      </c>
      <c r="H56" s="19" t="s">
        <v>38</v>
      </c>
      <c r="I56" s="19">
        <v>0.13600000000000001</v>
      </c>
      <c r="J56" s="19">
        <v>0.129</v>
      </c>
      <c r="K56" s="19" t="s">
        <v>38</v>
      </c>
      <c r="L56" s="19" t="s">
        <v>38</v>
      </c>
      <c r="M56" s="19" t="s">
        <v>38</v>
      </c>
      <c r="N56" s="16">
        <v>0.13250000000000001</v>
      </c>
      <c r="O56" s="23" t="s">
        <v>38</v>
      </c>
      <c r="P56" s="23" t="s">
        <v>38</v>
      </c>
      <c r="Q56" s="23" t="s">
        <v>38</v>
      </c>
      <c r="R56" s="23" t="s">
        <v>38</v>
      </c>
      <c r="S56" s="16">
        <v>0.158</v>
      </c>
      <c r="T56" s="16">
        <v>0.127</v>
      </c>
      <c r="U56" s="16">
        <v>0.113</v>
      </c>
      <c r="V56" s="16">
        <v>0.122</v>
      </c>
      <c r="W56" s="16">
        <v>0.115</v>
      </c>
      <c r="X56" s="23">
        <v>0.107</v>
      </c>
      <c r="Y56" s="24">
        <v>0.10199999999999999</v>
      </c>
      <c r="Z56" s="23">
        <v>0.107</v>
      </c>
      <c r="AA56" s="23">
        <v>0.10299999999999999</v>
      </c>
      <c r="AB56" s="23">
        <v>0.111</v>
      </c>
      <c r="AC56" s="24">
        <v>0.108</v>
      </c>
      <c r="AD56" s="16">
        <v>0.112</v>
      </c>
      <c r="AE56" s="16">
        <v>9.1999999999999998E-2</v>
      </c>
      <c r="AF56" s="16">
        <v>9.8000000000000004E-2</v>
      </c>
      <c r="AG56" s="16">
        <v>0.11799999999999999</v>
      </c>
      <c r="AH56" s="16">
        <v>8.1000000000000003E-2</v>
      </c>
      <c r="AI56" s="16">
        <v>0.128</v>
      </c>
      <c r="AJ56" s="16">
        <v>0.12</v>
      </c>
      <c r="AK56" s="16">
        <v>9.9000000000000005E-2</v>
      </c>
      <c r="AL56" s="16" t="s">
        <v>38</v>
      </c>
      <c r="AM56" s="16">
        <v>0.14499999999999999</v>
      </c>
      <c r="AN56" s="40">
        <v>0.14199999999999999</v>
      </c>
      <c r="AO56" s="40">
        <v>0.11899999999999999</v>
      </c>
      <c r="AP56" s="40" t="s">
        <v>38</v>
      </c>
      <c r="AQ56" s="40">
        <v>0.15</v>
      </c>
      <c r="AR56" s="40">
        <v>0.14199999999999999</v>
      </c>
      <c r="AS56" s="40" t="s">
        <v>38</v>
      </c>
      <c r="AT56" s="40">
        <v>0.14000000000000001</v>
      </c>
      <c r="AU56" s="40">
        <v>0.13</v>
      </c>
      <c r="AV56" s="40">
        <v>0.14199999999999999</v>
      </c>
      <c r="AW56" s="40">
        <v>0.14199999999999999</v>
      </c>
      <c r="AX56" s="40">
        <v>0.12</v>
      </c>
      <c r="AY56" s="40">
        <v>0.13400000000000001</v>
      </c>
      <c r="AZ56" s="40">
        <v>0.14099999999999999</v>
      </c>
      <c r="BA56" s="40">
        <v>0.124</v>
      </c>
      <c r="BB56" s="49">
        <v>8.6499999999999994E-2</v>
      </c>
      <c r="BC56" s="40">
        <v>0.186</v>
      </c>
      <c r="BD56" s="16" t="s">
        <v>38</v>
      </c>
      <c r="BE56" s="16" t="s">
        <v>38</v>
      </c>
      <c r="BF56" s="16" t="s">
        <v>38</v>
      </c>
      <c r="BG56" s="40">
        <v>0.16650000000000001</v>
      </c>
      <c r="BH56" s="38">
        <v>0.13350000000000001</v>
      </c>
      <c r="BI56" s="38">
        <v>0.13900000000000001</v>
      </c>
      <c r="BJ56" s="38">
        <v>9.6000000000000002E-2</v>
      </c>
      <c r="BK56" s="38" t="s">
        <v>38</v>
      </c>
      <c r="BL56" s="38">
        <v>0.14349999999999999</v>
      </c>
      <c r="BM56" s="38" t="s">
        <v>38</v>
      </c>
      <c r="BN56" s="16" t="s">
        <v>38</v>
      </c>
      <c r="BO56" s="16" t="s">
        <v>38</v>
      </c>
      <c r="BP56" s="16" t="s">
        <v>38</v>
      </c>
      <c r="BQ56" s="16" t="s">
        <v>38</v>
      </c>
      <c r="BR56" s="41">
        <v>0.14299999999999999</v>
      </c>
      <c r="BS56" s="16" t="s">
        <v>38</v>
      </c>
      <c r="BT56" s="16" t="s">
        <v>38</v>
      </c>
      <c r="BU56" s="16" t="s">
        <v>38</v>
      </c>
      <c r="BV56" s="41">
        <v>0.14749999999999999</v>
      </c>
      <c r="BW56" s="42">
        <v>0.152</v>
      </c>
      <c r="BX56" s="42" t="s">
        <v>38</v>
      </c>
      <c r="BY56" s="85" t="s">
        <v>38</v>
      </c>
      <c r="BZ56" s="85">
        <v>0.21199999999999999</v>
      </c>
      <c r="CA56" s="86" t="s">
        <v>38</v>
      </c>
    </row>
    <row r="57" spans="1:79">
      <c r="A57" s="60">
        <v>48</v>
      </c>
      <c r="B57" s="82">
        <v>254410.90681099999</v>
      </c>
      <c r="C57" s="82">
        <v>4505631.4095900003</v>
      </c>
      <c r="D57" s="19" t="s">
        <v>38</v>
      </c>
      <c r="E57" s="19" t="s">
        <v>38</v>
      </c>
      <c r="F57" s="19" t="s">
        <v>38</v>
      </c>
      <c r="G57" s="19" t="s">
        <v>38</v>
      </c>
      <c r="H57" s="19" t="s">
        <v>38</v>
      </c>
      <c r="I57" s="19" t="s">
        <v>38</v>
      </c>
      <c r="J57" s="19" t="s">
        <v>38</v>
      </c>
      <c r="K57" s="19" t="s">
        <v>38</v>
      </c>
      <c r="L57" s="19" t="s">
        <v>38</v>
      </c>
      <c r="M57" s="19" t="s">
        <v>38</v>
      </c>
      <c r="N57" s="23" t="s">
        <v>38</v>
      </c>
      <c r="O57" s="23" t="s">
        <v>38</v>
      </c>
      <c r="P57" s="23" t="s">
        <v>38</v>
      </c>
      <c r="Q57" s="23" t="s">
        <v>38</v>
      </c>
      <c r="R57" s="23" t="s">
        <v>38</v>
      </c>
      <c r="S57" s="23" t="s">
        <v>38</v>
      </c>
      <c r="T57" s="19" t="s">
        <v>38</v>
      </c>
      <c r="U57" s="19" t="s">
        <v>38</v>
      </c>
      <c r="V57" s="19" t="s">
        <v>38</v>
      </c>
      <c r="W57" s="19" t="s">
        <v>38</v>
      </c>
      <c r="X57" s="19" t="s">
        <v>38</v>
      </c>
      <c r="Y57" s="19" t="s">
        <v>38</v>
      </c>
      <c r="Z57" s="19" t="s">
        <v>38</v>
      </c>
      <c r="AA57" s="19" t="s">
        <v>38</v>
      </c>
      <c r="AB57" s="19" t="s">
        <v>38</v>
      </c>
      <c r="AC57" s="19" t="s">
        <v>38</v>
      </c>
      <c r="AD57" s="19" t="s">
        <v>38</v>
      </c>
      <c r="AE57" s="19" t="s">
        <v>38</v>
      </c>
      <c r="AF57" s="19" t="s">
        <v>38</v>
      </c>
      <c r="AG57" s="19" t="s">
        <v>38</v>
      </c>
      <c r="AH57" s="19" t="s">
        <v>38</v>
      </c>
      <c r="AI57" s="19" t="s">
        <v>38</v>
      </c>
      <c r="AJ57" s="19" t="s">
        <v>38</v>
      </c>
      <c r="AK57" s="19" t="s">
        <v>38</v>
      </c>
      <c r="AL57" s="19" t="s">
        <v>38</v>
      </c>
      <c r="AM57" s="19" t="s">
        <v>38</v>
      </c>
      <c r="AN57" s="19" t="s">
        <v>38</v>
      </c>
      <c r="AO57" s="19" t="s">
        <v>38</v>
      </c>
      <c r="AP57" s="19" t="s">
        <v>38</v>
      </c>
      <c r="AQ57" s="19" t="s">
        <v>38</v>
      </c>
      <c r="AR57" s="19" t="s">
        <v>38</v>
      </c>
      <c r="AS57" s="19" t="s">
        <v>38</v>
      </c>
      <c r="AT57" s="19" t="s">
        <v>38</v>
      </c>
      <c r="AU57" s="19" t="s">
        <v>38</v>
      </c>
      <c r="AV57" s="19" t="s">
        <v>38</v>
      </c>
      <c r="AW57" s="19" t="s">
        <v>38</v>
      </c>
      <c r="AX57" s="19" t="s">
        <v>38</v>
      </c>
      <c r="AY57" s="19" t="s">
        <v>38</v>
      </c>
      <c r="AZ57" s="19" t="s">
        <v>38</v>
      </c>
      <c r="BA57" s="19" t="s">
        <v>38</v>
      </c>
      <c r="BB57" s="19" t="s">
        <v>38</v>
      </c>
      <c r="BC57" s="19" t="s">
        <v>38</v>
      </c>
      <c r="BD57" s="19" t="s">
        <v>38</v>
      </c>
      <c r="BE57" s="19" t="s">
        <v>38</v>
      </c>
      <c r="BF57" s="19" t="s">
        <v>38</v>
      </c>
      <c r="BG57" s="19" t="s">
        <v>38</v>
      </c>
      <c r="BH57" s="19" t="s">
        <v>38</v>
      </c>
      <c r="BI57" s="19" t="s">
        <v>38</v>
      </c>
      <c r="BJ57" s="19" t="s">
        <v>38</v>
      </c>
      <c r="BK57" s="19" t="s">
        <v>38</v>
      </c>
      <c r="BL57" s="19" t="s">
        <v>38</v>
      </c>
      <c r="BM57" s="19" t="s">
        <v>38</v>
      </c>
      <c r="BN57" s="16" t="s">
        <v>38</v>
      </c>
      <c r="BO57" s="16" t="s">
        <v>38</v>
      </c>
      <c r="BP57" s="16" t="s">
        <v>38</v>
      </c>
      <c r="BQ57" s="16" t="s">
        <v>38</v>
      </c>
      <c r="BR57" s="46" t="s">
        <v>38</v>
      </c>
      <c r="BS57" s="16" t="s">
        <v>38</v>
      </c>
      <c r="BT57" s="16" t="s">
        <v>38</v>
      </c>
      <c r="BU57" s="16" t="s">
        <v>38</v>
      </c>
      <c r="BV57" s="16" t="s">
        <v>38</v>
      </c>
      <c r="BW57" s="16" t="s">
        <v>38</v>
      </c>
      <c r="BX57" s="16" t="s">
        <v>38</v>
      </c>
      <c r="BY57" s="69" t="s">
        <v>38</v>
      </c>
      <c r="BZ57" s="69" t="s">
        <v>38</v>
      </c>
      <c r="CA57" s="86" t="s">
        <v>38</v>
      </c>
    </row>
    <row r="58" spans="1:79">
      <c r="A58" s="60">
        <v>49</v>
      </c>
      <c r="B58" s="83">
        <v>254409.04055599999</v>
      </c>
      <c r="C58" s="83">
        <v>4505680.3762499997</v>
      </c>
      <c r="D58" s="19" t="s">
        <v>38</v>
      </c>
      <c r="E58" s="19" t="s">
        <v>38</v>
      </c>
      <c r="F58" s="19" t="s">
        <v>38</v>
      </c>
      <c r="G58" s="19" t="s">
        <v>38</v>
      </c>
      <c r="H58" s="19" t="s">
        <v>38</v>
      </c>
      <c r="I58" s="19" t="s">
        <v>38</v>
      </c>
      <c r="J58" s="19" t="s">
        <v>38</v>
      </c>
      <c r="K58" s="19" t="s">
        <v>38</v>
      </c>
      <c r="L58" s="19" t="s">
        <v>38</v>
      </c>
      <c r="M58" s="19" t="s">
        <v>38</v>
      </c>
      <c r="N58" s="23" t="s">
        <v>38</v>
      </c>
      <c r="O58" s="23" t="s">
        <v>38</v>
      </c>
      <c r="P58" s="23" t="s">
        <v>38</v>
      </c>
      <c r="Q58" s="23" t="s">
        <v>38</v>
      </c>
      <c r="R58" s="23" t="s">
        <v>38</v>
      </c>
      <c r="S58" s="23" t="s">
        <v>38</v>
      </c>
      <c r="T58" s="19" t="s">
        <v>38</v>
      </c>
      <c r="U58" s="19" t="s">
        <v>38</v>
      </c>
      <c r="V58" s="19" t="s">
        <v>38</v>
      </c>
      <c r="W58" s="19" t="s">
        <v>38</v>
      </c>
      <c r="X58" s="19" t="s">
        <v>38</v>
      </c>
      <c r="Y58" s="19" t="s">
        <v>38</v>
      </c>
      <c r="Z58" s="19" t="s">
        <v>38</v>
      </c>
      <c r="AA58" s="19" t="s">
        <v>38</v>
      </c>
      <c r="AB58" s="19" t="s">
        <v>38</v>
      </c>
      <c r="AC58" s="19" t="s">
        <v>38</v>
      </c>
      <c r="AD58" s="19" t="s">
        <v>38</v>
      </c>
      <c r="AE58" s="19" t="s">
        <v>38</v>
      </c>
      <c r="AF58" s="19" t="s">
        <v>38</v>
      </c>
      <c r="AG58" s="19" t="s">
        <v>38</v>
      </c>
      <c r="AH58" s="19" t="s">
        <v>38</v>
      </c>
      <c r="AI58" s="19" t="s">
        <v>38</v>
      </c>
      <c r="AJ58" s="19" t="s">
        <v>38</v>
      </c>
      <c r="AK58" s="19" t="s">
        <v>38</v>
      </c>
      <c r="AL58" s="19" t="s">
        <v>38</v>
      </c>
      <c r="AM58" s="19" t="s">
        <v>38</v>
      </c>
      <c r="AN58" s="19" t="s">
        <v>38</v>
      </c>
      <c r="AO58" s="19" t="s">
        <v>38</v>
      </c>
      <c r="AP58" s="19" t="s">
        <v>38</v>
      </c>
      <c r="AQ58" s="19" t="s">
        <v>38</v>
      </c>
      <c r="AR58" s="19" t="s">
        <v>38</v>
      </c>
      <c r="AS58" s="19" t="s">
        <v>38</v>
      </c>
      <c r="AT58" s="19" t="s">
        <v>38</v>
      </c>
      <c r="AU58" s="19" t="s">
        <v>38</v>
      </c>
      <c r="AV58" s="19" t="s">
        <v>38</v>
      </c>
      <c r="AW58" s="19" t="s">
        <v>38</v>
      </c>
      <c r="AX58" s="19" t="s">
        <v>38</v>
      </c>
      <c r="AY58" s="19" t="s">
        <v>38</v>
      </c>
      <c r="AZ58" s="19" t="s">
        <v>38</v>
      </c>
      <c r="BA58" s="19" t="s">
        <v>38</v>
      </c>
      <c r="BB58" s="19" t="s">
        <v>38</v>
      </c>
      <c r="BC58" s="19" t="s">
        <v>38</v>
      </c>
      <c r="BD58" s="19" t="s">
        <v>38</v>
      </c>
      <c r="BE58" s="19" t="s">
        <v>38</v>
      </c>
      <c r="BF58" s="19" t="s">
        <v>38</v>
      </c>
      <c r="BG58" s="19" t="s">
        <v>38</v>
      </c>
      <c r="BH58" s="19" t="s">
        <v>38</v>
      </c>
      <c r="BI58" s="19" t="s">
        <v>38</v>
      </c>
      <c r="BJ58" s="19" t="s">
        <v>38</v>
      </c>
      <c r="BK58" s="19" t="s">
        <v>38</v>
      </c>
      <c r="BL58" s="19" t="s">
        <v>38</v>
      </c>
      <c r="BM58" s="19" t="s">
        <v>38</v>
      </c>
      <c r="BN58" s="16" t="s">
        <v>38</v>
      </c>
      <c r="BO58" s="16" t="s">
        <v>38</v>
      </c>
      <c r="BP58" s="16" t="s">
        <v>38</v>
      </c>
      <c r="BQ58" s="16" t="s">
        <v>38</v>
      </c>
      <c r="BR58" s="46" t="s">
        <v>38</v>
      </c>
      <c r="BS58" s="16" t="s">
        <v>38</v>
      </c>
      <c r="BT58" s="16" t="s">
        <v>38</v>
      </c>
      <c r="BU58" s="16" t="s">
        <v>38</v>
      </c>
      <c r="BV58" s="16" t="s">
        <v>38</v>
      </c>
      <c r="BW58" s="16" t="s">
        <v>38</v>
      </c>
      <c r="BX58" s="16" t="s">
        <v>38</v>
      </c>
      <c r="BY58" s="69" t="s">
        <v>38</v>
      </c>
      <c r="BZ58" s="69" t="s">
        <v>38</v>
      </c>
      <c r="CA58" s="86" t="s">
        <v>38</v>
      </c>
    </row>
    <row r="59" spans="1:79">
      <c r="A59" s="60">
        <v>50</v>
      </c>
      <c r="B59" s="82">
        <v>254459.96109699999</v>
      </c>
      <c r="C59" s="82">
        <v>4505611.5409000004</v>
      </c>
      <c r="D59" s="19" t="s">
        <v>38</v>
      </c>
      <c r="E59" s="19" t="s">
        <v>38</v>
      </c>
      <c r="F59" s="19" t="s">
        <v>38</v>
      </c>
      <c r="G59" s="19" t="s">
        <v>38</v>
      </c>
      <c r="H59" s="19" t="s">
        <v>38</v>
      </c>
      <c r="I59" s="19" t="s">
        <v>38</v>
      </c>
      <c r="J59" s="19" t="s">
        <v>38</v>
      </c>
      <c r="K59" s="19" t="s">
        <v>38</v>
      </c>
      <c r="L59" s="19" t="s">
        <v>38</v>
      </c>
      <c r="M59" s="19" t="s">
        <v>38</v>
      </c>
      <c r="N59" s="23" t="s">
        <v>38</v>
      </c>
      <c r="O59" s="23" t="s">
        <v>38</v>
      </c>
      <c r="P59" s="23" t="s">
        <v>38</v>
      </c>
      <c r="Q59" s="23" t="s">
        <v>38</v>
      </c>
      <c r="R59" s="23" t="s">
        <v>38</v>
      </c>
      <c r="S59" s="23" t="s">
        <v>38</v>
      </c>
      <c r="T59" s="19" t="s">
        <v>38</v>
      </c>
      <c r="U59" s="19" t="s">
        <v>38</v>
      </c>
      <c r="V59" s="19" t="s">
        <v>38</v>
      </c>
      <c r="W59" s="19" t="s">
        <v>38</v>
      </c>
      <c r="X59" s="19" t="s">
        <v>38</v>
      </c>
      <c r="Y59" s="19" t="s">
        <v>38</v>
      </c>
      <c r="Z59" s="19" t="s">
        <v>38</v>
      </c>
      <c r="AA59" s="19" t="s">
        <v>38</v>
      </c>
      <c r="AB59" s="19" t="s">
        <v>38</v>
      </c>
      <c r="AC59" s="19" t="s">
        <v>38</v>
      </c>
      <c r="AD59" s="19" t="s">
        <v>38</v>
      </c>
      <c r="AE59" s="19" t="s">
        <v>38</v>
      </c>
      <c r="AF59" s="19" t="s">
        <v>38</v>
      </c>
      <c r="AG59" s="19" t="s">
        <v>38</v>
      </c>
      <c r="AH59" s="19" t="s">
        <v>38</v>
      </c>
      <c r="AI59" s="19" t="s">
        <v>38</v>
      </c>
      <c r="AJ59" s="19" t="s">
        <v>38</v>
      </c>
      <c r="AK59" s="19" t="s">
        <v>38</v>
      </c>
      <c r="AL59" s="19" t="s">
        <v>38</v>
      </c>
      <c r="AM59" s="19" t="s">
        <v>38</v>
      </c>
      <c r="AN59" s="40" t="s">
        <v>38</v>
      </c>
      <c r="AO59" s="40">
        <v>0.24399999999999999</v>
      </c>
      <c r="AP59" s="19" t="s">
        <v>38</v>
      </c>
      <c r="AQ59" s="19" t="s">
        <v>38</v>
      </c>
      <c r="AR59" s="19" t="s">
        <v>38</v>
      </c>
      <c r="AS59" s="40">
        <v>0.252</v>
      </c>
      <c r="AT59" s="40" t="s">
        <v>38</v>
      </c>
      <c r="AU59" s="40">
        <v>0.26900000000000002</v>
      </c>
      <c r="AV59" s="40" t="s">
        <v>38</v>
      </c>
      <c r="AW59" s="40" t="s">
        <v>38</v>
      </c>
      <c r="AX59" s="40">
        <v>0.22800000000000001</v>
      </c>
      <c r="AY59" s="39" t="s">
        <v>38</v>
      </c>
      <c r="AZ59" s="39" t="s">
        <v>38</v>
      </c>
      <c r="BA59" s="40">
        <v>0.22</v>
      </c>
      <c r="BB59" s="19" t="s">
        <v>38</v>
      </c>
      <c r="BC59" s="19" t="s">
        <v>38</v>
      </c>
      <c r="BD59" s="19" t="s">
        <v>38</v>
      </c>
      <c r="BE59" s="19" t="s">
        <v>38</v>
      </c>
      <c r="BF59" s="19" t="s">
        <v>38</v>
      </c>
      <c r="BG59" s="40">
        <v>0.34</v>
      </c>
      <c r="BH59" s="19" t="s">
        <v>38</v>
      </c>
      <c r="BI59" s="19" t="s">
        <v>38</v>
      </c>
      <c r="BJ59" s="19" t="s">
        <v>38</v>
      </c>
      <c r="BK59" s="19" t="s">
        <v>38</v>
      </c>
      <c r="BL59" s="19" t="s">
        <v>38</v>
      </c>
      <c r="BM59" s="19" t="s">
        <v>38</v>
      </c>
      <c r="BN59" s="16" t="s">
        <v>38</v>
      </c>
      <c r="BO59" s="16" t="s">
        <v>38</v>
      </c>
      <c r="BP59" s="16" t="s">
        <v>38</v>
      </c>
      <c r="BQ59" s="16" t="s">
        <v>38</v>
      </c>
      <c r="BR59" s="46" t="s">
        <v>38</v>
      </c>
      <c r="BS59" s="16" t="s">
        <v>38</v>
      </c>
      <c r="BT59" s="16" t="s">
        <v>38</v>
      </c>
      <c r="BU59" s="16" t="s">
        <v>38</v>
      </c>
      <c r="BV59" s="16" t="s">
        <v>38</v>
      </c>
      <c r="BW59" s="16" t="s">
        <v>38</v>
      </c>
      <c r="BX59" s="16" t="s">
        <v>38</v>
      </c>
      <c r="BY59" s="69" t="s">
        <v>38</v>
      </c>
      <c r="BZ59" s="69" t="s">
        <v>38</v>
      </c>
      <c r="CA59" s="86" t="s">
        <v>38</v>
      </c>
    </row>
    <row r="60" spans="1:79">
      <c r="A60" s="60">
        <v>51</v>
      </c>
      <c r="B60" s="82">
        <v>254457.91333000001</v>
      </c>
      <c r="C60" s="82">
        <v>4505621.1563900001</v>
      </c>
      <c r="D60" s="19">
        <v>0.27700000000000002</v>
      </c>
      <c r="E60" s="19">
        <v>0.23250000000000001</v>
      </c>
      <c r="F60" s="19" t="s">
        <v>38</v>
      </c>
      <c r="G60" s="19">
        <v>0.255</v>
      </c>
      <c r="H60" s="19">
        <v>0.25950000000000001</v>
      </c>
      <c r="I60" s="19">
        <v>0.23549999999999999</v>
      </c>
      <c r="J60" s="19">
        <v>0.21050000000000002</v>
      </c>
      <c r="K60" s="19">
        <v>0.18049999999999999</v>
      </c>
      <c r="L60" s="19" t="s">
        <v>38</v>
      </c>
      <c r="M60" s="19" t="s">
        <v>38</v>
      </c>
      <c r="N60" s="23" t="s">
        <v>38</v>
      </c>
      <c r="O60" s="23" t="s">
        <v>38</v>
      </c>
      <c r="P60" s="23" t="s">
        <v>38</v>
      </c>
      <c r="Q60" s="23" t="s">
        <v>38</v>
      </c>
      <c r="R60" s="23" t="s">
        <v>38</v>
      </c>
      <c r="S60" s="23" t="s">
        <v>38</v>
      </c>
      <c r="T60" s="23">
        <v>0.26</v>
      </c>
      <c r="U60" s="23">
        <v>0.26800000000000002</v>
      </c>
      <c r="V60" s="19" t="s">
        <v>38</v>
      </c>
      <c r="W60" s="23">
        <v>0.29399999999999998</v>
      </c>
      <c r="X60" s="23">
        <v>0.28799999999999998</v>
      </c>
      <c r="Y60" s="24">
        <v>0.29799999999999999</v>
      </c>
      <c r="Z60" s="23">
        <v>0.28199999999999997</v>
      </c>
      <c r="AA60" s="23">
        <v>0.28899999999999998</v>
      </c>
      <c r="AB60" s="23">
        <v>0.29299999999999998</v>
      </c>
      <c r="AC60" s="24">
        <v>0.28299999999999997</v>
      </c>
      <c r="AD60" s="16">
        <v>0.27300000000000002</v>
      </c>
      <c r="AE60" s="16">
        <v>0.26500000000000001</v>
      </c>
      <c r="AF60" s="16">
        <v>0.24299999999999999</v>
      </c>
      <c r="AG60" s="16">
        <v>0.20499999999999999</v>
      </c>
      <c r="AH60" s="16">
        <v>0.24</v>
      </c>
      <c r="AI60" s="16">
        <v>0.19800000000000001</v>
      </c>
      <c r="AJ60" s="16">
        <v>0.20899999999999999</v>
      </c>
      <c r="AK60" s="16">
        <v>0.192</v>
      </c>
      <c r="AL60" s="16">
        <v>0.247</v>
      </c>
      <c r="AM60" s="16">
        <v>0.313</v>
      </c>
      <c r="AN60" s="40">
        <v>0.23899999999999999</v>
      </c>
      <c r="AO60" s="40">
        <v>0.187</v>
      </c>
      <c r="AP60" s="40">
        <v>0.26200000000000001</v>
      </c>
      <c r="AQ60" s="40">
        <v>0.25900000000000001</v>
      </c>
      <c r="AR60" s="40">
        <v>0.24299999999999999</v>
      </c>
      <c r="AS60" s="40">
        <v>0.222</v>
      </c>
      <c r="AT60" s="40">
        <v>0.26600000000000001</v>
      </c>
      <c r="AU60" s="40">
        <v>0.214</v>
      </c>
      <c r="AV60" s="40">
        <v>0.20599999999999999</v>
      </c>
      <c r="AW60" s="40">
        <v>0.19</v>
      </c>
      <c r="AX60" s="40">
        <v>0.189</v>
      </c>
      <c r="AY60" s="40">
        <v>0.26200000000000001</v>
      </c>
      <c r="AZ60" s="40">
        <v>0.24399999999999999</v>
      </c>
      <c r="BA60" s="40">
        <v>0.20599999999999999</v>
      </c>
      <c r="BB60" s="49">
        <v>0.20300000000000001</v>
      </c>
      <c r="BC60" s="40">
        <v>0.24099999999999999</v>
      </c>
      <c r="BD60" s="50">
        <v>0.28200000000000003</v>
      </c>
      <c r="BE60" s="50">
        <v>0.26850000000000002</v>
      </c>
      <c r="BF60" s="50">
        <v>0.183</v>
      </c>
      <c r="BG60" s="40">
        <v>0.27900000000000003</v>
      </c>
      <c r="BH60" s="38">
        <v>0.24</v>
      </c>
      <c r="BI60" s="38">
        <v>0.2465</v>
      </c>
      <c r="BJ60" s="38">
        <v>0.25650000000000001</v>
      </c>
      <c r="BK60" s="38">
        <v>0.23499999999999999</v>
      </c>
      <c r="BL60" s="38">
        <v>0.25850000000000001</v>
      </c>
      <c r="BM60" s="38">
        <v>0.26600000000000001</v>
      </c>
      <c r="BN60" s="40">
        <v>0.252</v>
      </c>
      <c r="BO60" s="40">
        <v>0.25850000000000001</v>
      </c>
      <c r="BP60" s="38">
        <v>0.25600000000000001</v>
      </c>
      <c r="BQ60" s="38">
        <v>0.20400000000000001</v>
      </c>
      <c r="BR60" s="41">
        <v>0.21299999999999999</v>
      </c>
      <c r="BS60" s="41">
        <v>0.20849999999999999</v>
      </c>
      <c r="BT60" s="41">
        <v>0.20100000000000001</v>
      </c>
      <c r="BU60" s="42">
        <v>0.223</v>
      </c>
      <c r="BV60" s="41">
        <v>0.20100000000000001</v>
      </c>
      <c r="BW60" s="42" t="s">
        <v>38</v>
      </c>
      <c r="BX60" s="42" t="s">
        <v>38</v>
      </c>
      <c r="BY60" s="85">
        <f>(0.281+0.27)/2</f>
        <v>0.27550000000000002</v>
      </c>
      <c r="BZ60" s="85">
        <f>(0.355+0.338)/2</f>
        <v>0.34650000000000003</v>
      </c>
      <c r="CA60" s="86">
        <v>0.26700000000000002</v>
      </c>
    </row>
    <row r="61" spans="1:79">
      <c r="A61" s="60" t="s">
        <v>14</v>
      </c>
      <c r="B61" s="82">
        <v>254459.08399399999</v>
      </c>
      <c r="C61" s="82">
        <v>4505622.0498400005</v>
      </c>
      <c r="D61" s="19">
        <v>0.26900000000000002</v>
      </c>
      <c r="E61" s="19">
        <v>0.21049999999999999</v>
      </c>
      <c r="F61" s="19">
        <v>0.27250000000000002</v>
      </c>
      <c r="G61" s="19">
        <v>0.2445</v>
      </c>
      <c r="H61" s="19">
        <v>0.26350000000000001</v>
      </c>
      <c r="I61" s="19">
        <v>0.23099999999999998</v>
      </c>
      <c r="J61" s="19">
        <v>0.17599999999999999</v>
      </c>
      <c r="K61" s="19">
        <v>0.18049999999999999</v>
      </c>
      <c r="L61" s="19">
        <v>0.16699999999999998</v>
      </c>
      <c r="M61" s="19">
        <v>0.155</v>
      </c>
      <c r="N61" s="16">
        <v>0.22750000000000001</v>
      </c>
      <c r="O61" s="16">
        <v>0.16450000000000001</v>
      </c>
      <c r="P61" s="16">
        <v>0.16200000000000001</v>
      </c>
      <c r="Q61" s="16">
        <v>0.16549999999999998</v>
      </c>
      <c r="R61" s="16">
        <v>0.17099999999999999</v>
      </c>
      <c r="S61" s="16">
        <v>0.19800000000000001</v>
      </c>
      <c r="T61" s="16">
        <v>0.23100000000000001</v>
      </c>
      <c r="U61" s="16">
        <v>0.27</v>
      </c>
      <c r="V61" s="19" t="s">
        <v>38</v>
      </c>
      <c r="W61" s="16">
        <v>0.25700000000000001</v>
      </c>
      <c r="X61" s="23">
        <v>0.27400000000000002</v>
      </c>
      <c r="Y61" s="24" t="s">
        <v>38</v>
      </c>
      <c r="Z61" s="23">
        <v>0.27</v>
      </c>
      <c r="AA61" s="23">
        <v>0.27100000000000002</v>
      </c>
      <c r="AB61" s="23" t="s">
        <v>38</v>
      </c>
      <c r="AC61" s="24">
        <v>0.31900000000000001</v>
      </c>
      <c r="AD61" s="16">
        <v>0.24399999999999999</v>
      </c>
      <c r="AE61" s="16" t="s">
        <v>38</v>
      </c>
      <c r="AF61" s="16">
        <v>0.182</v>
      </c>
      <c r="AG61" s="16">
        <v>0.19</v>
      </c>
      <c r="AH61" s="16">
        <v>0.185</v>
      </c>
      <c r="AI61" s="16" t="s">
        <v>38</v>
      </c>
      <c r="AJ61" s="16" t="s">
        <v>38</v>
      </c>
      <c r="AK61" s="16">
        <v>0.191</v>
      </c>
      <c r="AL61" s="16">
        <v>0.187</v>
      </c>
      <c r="AM61" s="16">
        <v>0.251</v>
      </c>
      <c r="AN61" s="40">
        <v>0.19400000000000001</v>
      </c>
      <c r="AO61" s="40" t="s">
        <v>38</v>
      </c>
      <c r="AP61" s="40" t="s">
        <v>38</v>
      </c>
      <c r="AQ61" s="40">
        <v>0.2</v>
      </c>
      <c r="AR61" s="40" t="s">
        <v>38</v>
      </c>
      <c r="AS61" s="40">
        <v>0.222</v>
      </c>
      <c r="AT61" s="40" t="s">
        <v>38</v>
      </c>
      <c r="AU61" s="40">
        <v>0.185</v>
      </c>
      <c r="AV61" s="40" t="s">
        <v>38</v>
      </c>
      <c r="AW61" s="40" t="s">
        <v>38</v>
      </c>
      <c r="AX61" s="40" t="s">
        <v>38</v>
      </c>
      <c r="AY61" s="40">
        <v>0.29599999999999999</v>
      </c>
      <c r="AZ61" s="40">
        <v>0.27600000000000002</v>
      </c>
      <c r="BA61" s="40">
        <v>0.28799999999999998</v>
      </c>
      <c r="BB61" s="49">
        <v>0.17449999999999999</v>
      </c>
      <c r="BC61" s="40">
        <v>0.23199999999999998</v>
      </c>
      <c r="BD61" s="50">
        <v>0.21199999999999999</v>
      </c>
      <c r="BE61" s="50">
        <v>0.193</v>
      </c>
      <c r="BF61" s="50">
        <v>9.2999999999999999E-2</v>
      </c>
      <c r="BG61" s="40">
        <v>0.22</v>
      </c>
      <c r="BH61" s="38" t="s">
        <v>38</v>
      </c>
      <c r="BI61" s="38" t="s">
        <v>38</v>
      </c>
      <c r="BJ61" s="38" t="s">
        <v>38</v>
      </c>
      <c r="BK61" s="38">
        <v>0.255</v>
      </c>
      <c r="BL61" s="38" t="s">
        <v>38</v>
      </c>
      <c r="BM61" s="38" t="s">
        <v>38</v>
      </c>
      <c r="BN61" s="38" t="s">
        <v>38</v>
      </c>
      <c r="BO61" s="38" t="s">
        <v>38</v>
      </c>
      <c r="BP61" s="38" t="s">
        <v>38</v>
      </c>
      <c r="BQ61" s="38">
        <v>0.16350000000000001</v>
      </c>
      <c r="BR61" s="41">
        <v>0.17349999999999999</v>
      </c>
      <c r="BS61" s="41">
        <v>0.17349999999999999</v>
      </c>
      <c r="BT61" s="41">
        <v>0.155</v>
      </c>
      <c r="BU61" s="42">
        <v>0.15049999999999999</v>
      </c>
      <c r="BV61" s="41" t="s">
        <v>38</v>
      </c>
      <c r="BW61" s="42">
        <v>0.21</v>
      </c>
      <c r="BX61" s="42" t="s">
        <v>38</v>
      </c>
      <c r="BY61" s="85">
        <f>(0.292+0.257)/2</f>
        <v>0.27449999999999997</v>
      </c>
      <c r="BZ61" s="85">
        <f>(0.332+0.262)/2</f>
        <v>0.29700000000000004</v>
      </c>
      <c r="CA61" s="86">
        <v>0.246</v>
      </c>
    </row>
    <row r="62" spans="1:79">
      <c r="A62" s="60" t="s">
        <v>15</v>
      </c>
      <c r="B62" s="82">
        <v>254458.677084</v>
      </c>
      <c r="C62" s="82">
        <v>4505620.2194800004</v>
      </c>
      <c r="D62" s="19">
        <v>0.3125</v>
      </c>
      <c r="E62" s="19">
        <v>0.26950000000000002</v>
      </c>
      <c r="F62" s="19">
        <v>0.29299999999999998</v>
      </c>
      <c r="G62" s="19">
        <v>0.30049999999999999</v>
      </c>
      <c r="H62" s="19">
        <v>0.28749999999999998</v>
      </c>
      <c r="I62" s="19">
        <v>0.2515</v>
      </c>
      <c r="J62" s="19">
        <v>0.222</v>
      </c>
      <c r="K62" s="19">
        <v>0.1915</v>
      </c>
      <c r="L62" s="19">
        <v>0.252</v>
      </c>
      <c r="M62" s="19">
        <v>0.1825</v>
      </c>
      <c r="N62" s="16">
        <v>0.1235</v>
      </c>
      <c r="O62" s="16">
        <v>0.185</v>
      </c>
      <c r="P62" s="16" t="s">
        <v>38</v>
      </c>
      <c r="Q62" s="16">
        <v>0.23649999999999999</v>
      </c>
      <c r="R62" s="23" t="s">
        <v>38</v>
      </c>
      <c r="S62" s="23" t="s">
        <v>38</v>
      </c>
      <c r="T62" s="16">
        <v>0.30499999999999999</v>
      </c>
      <c r="U62" s="16">
        <v>0.316</v>
      </c>
      <c r="V62" s="19" t="s">
        <v>38</v>
      </c>
      <c r="W62" s="16">
        <v>0.35199999999999998</v>
      </c>
      <c r="X62" s="23">
        <v>0.316</v>
      </c>
      <c r="Y62" s="24" t="s">
        <v>38</v>
      </c>
      <c r="Z62" s="23">
        <v>0.33100000000000002</v>
      </c>
      <c r="AA62" s="23">
        <v>0.33600000000000002</v>
      </c>
      <c r="AB62" s="23" t="s">
        <v>38</v>
      </c>
      <c r="AC62" s="24">
        <v>0.317</v>
      </c>
      <c r="AD62" s="16">
        <v>0.309</v>
      </c>
      <c r="AE62" s="16" t="s">
        <v>38</v>
      </c>
      <c r="AF62" s="16">
        <v>0.23300000000000001</v>
      </c>
      <c r="AG62" s="16">
        <v>0.23599999999999999</v>
      </c>
      <c r="AH62" s="16">
        <v>0.214</v>
      </c>
      <c r="AI62" s="16" t="s">
        <v>38</v>
      </c>
      <c r="AJ62" s="16" t="s">
        <v>38</v>
      </c>
      <c r="AK62" s="16">
        <v>0.22700000000000001</v>
      </c>
      <c r="AL62" s="16">
        <v>0.32500000000000001</v>
      </c>
      <c r="AM62" s="16">
        <v>0.36499999999999999</v>
      </c>
      <c r="AN62" s="40">
        <v>0.26400000000000001</v>
      </c>
      <c r="AO62" s="40" t="s">
        <v>38</v>
      </c>
      <c r="AP62" s="40" t="s">
        <v>38</v>
      </c>
      <c r="AQ62" s="40">
        <v>0.251</v>
      </c>
      <c r="AR62" s="40" t="s">
        <v>38</v>
      </c>
      <c r="AS62" s="40">
        <v>0.22700000000000001</v>
      </c>
      <c r="AT62" s="40" t="s">
        <v>38</v>
      </c>
      <c r="AU62" s="40">
        <v>0.22700000000000001</v>
      </c>
      <c r="AV62" s="40" t="s">
        <v>38</v>
      </c>
      <c r="AW62" s="40" t="s">
        <v>38</v>
      </c>
      <c r="AX62" s="40" t="s">
        <v>38</v>
      </c>
      <c r="AY62" s="40">
        <v>0.221</v>
      </c>
      <c r="AZ62" s="40">
        <v>0.24099999999999999</v>
      </c>
      <c r="BA62" s="40">
        <v>0.26100000000000001</v>
      </c>
      <c r="BB62" s="49">
        <v>0.221</v>
      </c>
      <c r="BC62" s="40">
        <v>0.25850000000000001</v>
      </c>
      <c r="BD62" s="50">
        <v>0.32</v>
      </c>
      <c r="BE62" s="50">
        <v>0.29699999999999999</v>
      </c>
      <c r="BF62" s="50">
        <v>0.22</v>
      </c>
      <c r="BG62" s="40">
        <v>0.30399999999999999</v>
      </c>
      <c r="BH62" s="38" t="s">
        <v>38</v>
      </c>
      <c r="BI62" s="38" t="s">
        <v>38</v>
      </c>
      <c r="BJ62" s="38" t="s">
        <v>38</v>
      </c>
      <c r="BK62" s="38">
        <v>0.28599999999999998</v>
      </c>
      <c r="BL62" s="38" t="s">
        <v>38</v>
      </c>
      <c r="BM62" s="38" t="s">
        <v>38</v>
      </c>
      <c r="BN62" s="38" t="s">
        <v>38</v>
      </c>
      <c r="BO62" s="38" t="s">
        <v>38</v>
      </c>
      <c r="BP62" s="38" t="s">
        <v>38</v>
      </c>
      <c r="BQ62" s="38">
        <v>0.216</v>
      </c>
      <c r="BR62" s="41">
        <v>0.217</v>
      </c>
      <c r="BS62" s="41">
        <v>0.21099999999999999</v>
      </c>
      <c r="BT62" s="41">
        <v>0.20749999999999999</v>
      </c>
      <c r="BU62" s="42">
        <v>0.2555</v>
      </c>
      <c r="BV62" s="41" t="s">
        <v>38</v>
      </c>
      <c r="BW62" s="42" t="s">
        <v>38</v>
      </c>
      <c r="BX62" s="42" t="s">
        <v>38</v>
      </c>
      <c r="BY62" s="85">
        <f>(0.291+0.3)/2</f>
        <v>0.29549999999999998</v>
      </c>
      <c r="BZ62" s="85">
        <v>0.4</v>
      </c>
      <c r="CA62" s="86">
        <v>0.3</v>
      </c>
    </row>
    <row r="63" spans="1:79">
      <c r="A63" s="60" t="s">
        <v>16</v>
      </c>
      <c r="B63" s="82">
        <v>254456.72850500001</v>
      </c>
      <c r="C63" s="82">
        <v>4505620.3603600003</v>
      </c>
      <c r="D63" s="19">
        <v>0.27900000000000003</v>
      </c>
      <c r="E63" s="19">
        <v>0.29049999999999998</v>
      </c>
      <c r="F63" s="19">
        <v>0.30349999999999999</v>
      </c>
      <c r="G63" s="19">
        <v>0.26150000000000001</v>
      </c>
      <c r="H63" s="19">
        <v>0.26750000000000002</v>
      </c>
      <c r="I63" s="19">
        <v>0.223</v>
      </c>
      <c r="J63" s="19">
        <v>0.186</v>
      </c>
      <c r="K63" s="19">
        <v>0.16250000000000001</v>
      </c>
      <c r="L63" s="19">
        <v>0.2</v>
      </c>
      <c r="M63" s="19">
        <v>0.18099999999999999</v>
      </c>
      <c r="N63" s="16">
        <v>0.20450000000000002</v>
      </c>
      <c r="O63" s="16">
        <v>0.16549999999999998</v>
      </c>
      <c r="P63" s="16" t="s">
        <v>38</v>
      </c>
      <c r="Q63" s="16">
        <v>0.20800000000000002</v>
      </c>
      <c r="R63" s="23" t="s">
        <v>38</v>
      </c>
      <c r="S63" s="23" t="s">
        <v>38</v>
      </c>
      <c r="T63" s="16">
        <v>0.26</v>
      </c>
      <c r="U63" s="16">
        <v>0.30399999999999999</v>
      </c>
      <c r="V63" s="19" t="s">
        <v>38</v>
      </c>
      <c r="W63" s="16">
        <v>0.33800000000000002</v>
      </c>
      <c r="X63" s="23">
        <v>0.26800000000000002</v>
      </c>
      <c r="Y63" s="24" t="s">
        <v>38</v>
      </c>
      <c r="Z63" s="23">
        <v>0.28899999999999998</v>
      </c>
      <c r="AA63" s="23">
        <v>0.29399999999999998</v>
      </c>
      <c r="AB63" s="23" t="s">
        <v>38</v>
      </c>
      <c r="AC63" s="24">
        <v>0.28100000000000003</v>
      </c>
      <c r="AD63" s="16">
        <v>0.27200000000000002</v>
      </c>
      <c r="AE63" s="16" t="s">
        <v>38</v>
      </c>
      <c r="AF63" s="16">
        <v>0.20200000000000001</v>
      </c>
      <c r="AG63" s="16">
        <v>0.20799999999999999</v>
      </c>
      <c r="AH63" s="16">
        <v>0.20100000000000001</v>
      </c>
      <c r="AI63" s="16" t="s">
        <v>38</v>
      </c>
      <c r="AJ63" s="16" t="s">
        <v>38</v>
      </c>
      <c r="AK63" s="16">
        <v>0.17599999999999999</v>
      </c>
      <c r="AL63" s="16">
        <v>0.19900000000000001</v>
      </c>
      <c r="AM63" s="16">
        <v>0.28999999999999998</v>
      </c>
      <c r="AN63" s="40">
        <v>0.251</v>
      </c>
      <c r="AO63" s="40" t="s">
        <v>38</v>
      </c>
      <c r="AP63" s="40" t="s">
        <v>38</v>
      </c>
      <c r="AQ63" s="40">
        <v>0.20899999999999999</v>
      </c>
      <c r="AR63" s="40" t="s">
        <v>38</v>
      </c>
      <c r="AS63" s="40">
        <v>0.22800000000000001</v>
      </c>
      <c r="AT63" s="40" t="s">
        <v>38</v>
      </c>
      <c r="AU63" s="40">
        <v>0.20699999999999999</v>
      </c>
      <c r="AV63" s="40" t="s">
        <v>38</v>
      </c>
      <c r="AW63" s="40" t="s">
        <v>38</v>
      </c>
      <c r="AX63" s="40" t="s">
        <v>38</v>
      </c>
      <c r="AY63" s="40">
        <v>0.25600000000000001</v>
      </c>
      <c r="AZ63" s="40">
        <v>0.223</v>
      </c>
      <c r="BA63" s="40">
        <v>0.25900000000000001</v>
      </c>
      <c r="BB63" s="49">
        <v>0.1885</v>
      </c>
      <c r="BC63" s="40">
        <v>0.22650000000000001</v>
      </c>
      <c r="BD63" s="50">
        <v>0.27849999999999997</v>
      </c>
      <c r="BE63" s="50">
        <v>0.27200000000000002</v>
      </c>
      <c r="BF63" s="50">
        <v>0.21149999999999999</v>
      </c>
      <c r="BG63" s="40">
        <v>0.25850000000000001</v>
      </c>
      <c r="BH63" s="38" t="s">
        <v>38</v>
      </c>
      <c r="BI63" s="38" t="s">
        <v>38</v>
      </c>
      <c r="BJ63" s="38" t="s">
        <v>38</v>
      </c>
      <c r="BK63" s="38">
        <v>0.2525</v>
      </c>
      <c r="BL63" s="38" t="s">
        <v>38</v>
      </c>
      <c r="BM63" s="38" t="s">
        <v>38</v>
      </c>
      <c r="BN63" s="38" t="s">
        <v>38</v>
      </c>
      <c r="BO63" s="38" t="s">
        <v>38</v>
      </c>
      <c r="BP63" s="38" t="s">
        <v>38</v>
      </c>
      <c r="BQ63" s="38">
        <v>0.191</v>
      </c>
      <c r="BR63" s="41">
        <v>0.1875</v>
      </c>
      <c r="BS63" s="41">
        <v>0.19800000000000001</v>
      </c>
      <c r="BT63" s="41">
        <v>0.19750000000000001</v>
      </c>
      <c r="BU63" s="42">
        <v>0.20550000000000002</v>
      </c>
      <c r="BV63" s="41" t="s">
        <v>38</v>
      </c>
      <c r="BW63" s="42" t="s">
        <v>38</v>
      </c>
      <c r="BX63" s="42" t="s">
        <v>38</v>
      </c>
      <c r="BY63" s="85">
        <f>(0.325+0.31)/2</f>
        <v>0.3175</v>
      </c>
      <c r="BZ63" s="85">
        <f>(0.412+0.406)/2</f>
        <v>0.40900000000000003</v>
      </c>
      <c r="CA63" s="86">
        <v>0.27500000000000002</v>
      </c>
    </row>
    <row r="64" spans="1:79">
      <c r="A64" s="60" t="s">
        <v>17</v>
      </c>
      <c r="B64" s="82">
        <v>254457.14039799999</v>
      </c>
      <c r="C64" s="82">
        <v>4505622.2859399999</v>
      </c>
      <c r="D64" s="19">
        <v>0.249</v>
      </c>
      <c r="E64" s="19">
        <v>0.255</v>
      </c>
      <c r="F64" s="19">
        <v>0.28349999999999997</v>
      </c>
      <c r="G64" s="19">
        <v>0.26700000000000002</v>
      </c>
      <c r="H64" s="19">
        <v>0.26700000000000002</v>
      </c>
      <c r="I64" s="19">
        <v>0.21049999999999999</v>
      </c>
      <c r="J64" s="19">
        <v>0.19500000000000001</v>
      </c>
      <c r="K64" s="19">
        <v>0.17</v>
      </c>
      <c r="L64" s="19">
        <v>0.192</v>
      </c>
      <c r="M64" s="19">
        <v>0.16400000000000001</v>
      </c>
      <c r="N64" s="16">
        <v>0.19900000000000001</v>
      </c>
      <c r="O64" s="16">
        <v>0.16</v>
      </c>
      <c r="P64" s="16" t="s">
        <v>38</v>
      </c>
      <c r="Q64" s="16">
        <v>0.2135</v>
      </c>
      <c r="R64" s="23" t="s">
        <v>38</v>
      </c>
      <c r="S64" s="23" t="s">
        <v>38</v>
      </c>
      <c r="T64" s="16">
        <v>0.26900000000000002</v>
      </c>
      <c r="U64" s="16">
        <v>0.27300000000000002</v>
      </c>
      <c r="V64" s="19" t="s">
        <v>38</v>
      </c>
      <c r="W64" s="16">
        <v>0.29399999999999998</v>
      </c>
      <c r="X64" s="23">
        <v>0.29399999999999998</v>
      </c>
      <c r="Y64" s="24" t="s">
        <v>38</v>
      </c>
      <c r="Z64" s="23">
        <v>0.28399999999999997</v>
      </c>
      <c r="AA64" s="23">
        <v>0.29199999999999998</v>
      </c>
      <c r="AB64" s="23" t="s">
        <v>38</v>
      </c>
      <c r="AC64" s="24">
        <v>0.27800000000000002</v>
      </c>
      <c r="AD64" s="16">
        <v>0.27500000000000002</v>
      </c>
      <c r="AE64" s="16" t="s">
        <v>38</v>
      </c>
      <c r="AF64" s="16">
        <v>0.21199999999999999</v>
      </c>
      <c r="AG64" s="16">
        <v>0.20300000000000001</v>
      </c>
      <c r="AH64" s="16">
        <v>0.19500000000000001</v>
      </c>
      <c r="AI64" s="16" t="s">
        <v>38</v>
      </c>
      <c r="AJ64" s="16" t="s">
        <v>38</v>
      </c>
      <c r="AK64" s="16">
        <v>0.192</v>
      </c>
      <c r="AL64" s="16">
        <v>0.23799999999999999</v>
      </c>
      <c r="AM64" s="16">
        <v>0.26200000000000001</v>
      </c>
      <c r="AN64" s="40">
        <v>0.20300000000000001</v>
      </c>
      <c r="AO64" s="40" t="s">
        <v>38</v>
      </c>
      <c r="AP64" s="40" t="s">
        <v>38</v>
      </c>
      <c r="AQ64" s="40">
        <v>0.23400000000000001</v>
      </c>
      <c r="AR64" s="40" t="s">
        <v>38</v>
      </c>
      <c r="AS64" s="40">
        <v>0.20699999999999999</v>
      </c>
      <c r="AT64" s="40" t="s">
        <v>38</v>
      </c>
      <c r="AU64" s="40">
        <v>0.19600000000000001</v>
      </c>
      <c r="AV64" s="40" t="s">
        <v>38</v>
      </c>
      <c r="AW64" s="40" t="s">
        <v>38</v>
      </c>
      <c r="AX64" s="40" t="s">
        <v>38</v>
      </c>
      <c r="AY64" s="40">
        <v>0.20899999999999999</v>
      </c>
      <c r="AZ64" s="40">
        <v>0.21299999999999999</v>
      </c>
      <c r="BA64" s="40">
        <v>0.21299999999999999</v>
      </c>
      <c r="BB64" s="49">
        <v>0.17949999999999999</v>
      </c>
      <c r="BC64" s="40">
        <v>0.21050000000000002</v>
      </c>
      <c r="BD64" s="50">
        <v>0.27500000000000002</v>
      </c>
      <c r="BE64" s="50">
        <v>0.26100000000000001</v>
      </c>
      <c r="BF64" s="50">
        <v>0.19900000000000001</v>
      </c>
      <c r="BG64" s="40">
        <v>0.26500000000000001</v>
      </c>
      <c r="BH64" s="38" t="s">
        <v>38</v>
      </c>
      <c r="BI64" s="38" t="s">
        <v>38</v>
      </c>
      <c r="BJ64" s="38" t="s">
        <v>38</v>
      </c>
      <c r="BK64" s="38">
        <v>0.2555</v>
      </c>
      <c r="BL64" s="38" t="s">
        <v>38</v>
      </c>
      <c r="BM64" s="38" t="s">
        <v>38</v>
      </c>
      <c r="BN64" s="38" t="s">
        <v>38</v>
      </c>
      <c r="BO64" s="38" t="s">
        <v>38</v>
      </c>
      <c r="BP64" s="38" t="s">
        <v>38</v>
      </c>
      <c r="BQ64" s="38">
        <v>0.19550000000000001</v>
      </c>
      <c r="BR64" s="41">
        <v>0.20549999999999999</v>
      </c>
      <c r="BS64" s="41">
        <v>0.20150000000000001</v>
      </c>
      <c r="BT64" s="41">
        <v>0.19500000000000001</v>
      </c>
      <c r="BU64" s="42">
        <v>0.20200000000000001</v>
      </c>
      <c r="BV64" s="41" t="s">
        <v>38</v>
      </c>
      <c r="BW64" s="42" t="s">
        <v>38</v>
      </c>
      <c r="BX64" s="42" t="s">
        <v>38</v>
      </c>
      <c r="BY64" s="85">
        <f>(0.296+0.14)/2</f>
        <v>0.218</v>
      </c>
      <c r="BZ64" s="85">
        <f>(0.37+0.371)/2</f>
        <v>0.3705</v>
      </c>
      <c r="CA64" s="86">
        <v>0.28499999999999998</v>
      </c>
    </row>
    <row r="65" spans="1:79">
      <c r="A65" s="60">
        <v>52</v>
      </c>
      <c r="B65" s="82">
        <v>254458.46923300001</v>
      </c>
      <c r="C65" s="82">
        <v>4505643.4115500003</v>
      </c>
      <c r="D65" s="19">
        <v>0.28050000000000003</v>
      </c>
      <c r="E65" s="19">
        <v>0.24299999999999999</v>
      </c>
      <c r="F65" s="19">
        <v>0.245</v>
      </c>
      <c r="G65" s="19">
        <v>0.24399999999999999</v>
      </c>
      <c r="H65" s="19" t="s">
        <v>38</v>
      </c>
      <c r="I65" s="19">
        <v>0.1885</v>
      </c>
      <c r="J65" s="19">
        <v>0.20035</v>
      </c>
      <c r="K65" s="19">
        <v>0.17699999999999999</v>
      </c>
      <c r="L65" s="19">
        <v>0.16949999999999998</v>
      </c>
      <c r="M65" s="19">
        <v>0.14400000000000002</v>
      </c>
      <c r="N65" s="16">
        <v>0.1575</v>
      </c>
      <c r="O65" s="16">
        <v>0.14000000000000001</v>
      </c>
      <c r="P65" s="16">
        <v>0.152</v>
      </c>
      <c r="Q65" s="16">
        <v>0.1905</v>
      </c>
      <c r="R65" s="16">
        <v>0.2185</v>
      </c>
      <c r="S65" s="16">
        <v>0.187</v>
      </c>
      <c r="T65" s="16">
        <v>0.3</v>
      </c>
      <c r="U65" s="16">
        <v>0.29299999999999998</v>
      </c>
      <c r="V65" s="19" t="s">
        <v>38</v>
      </c>
      <c r="W65" s="16">
        <v>0.32900000000000001</v>
      </c>
      <c r="X65" s="23">
        <v>0.32100000000000001</v>
      </c>
      <c r="Y65" s="24">
        <v>0.32800000000000001</v>
      </c>
      <c r="Z65" s="23">
        <v>0.33900000000000002</v>
      </c>
      <c r="AA65" s="23">
        <v>0.30599999999999999</v>
      </c>
      <c r="AB65" s="23">
        <v>0.32900000000000001</v>
      </c>
      <c r="AC65" s="24">
        <v>0.34</v>
      </c>
      <c r="AD65" s="16">
        <v>0.29899999999999999</v>
      </c>
      <c r="AE65" s="16">
        <v>0.27400000000000002</v>
      </c>
      <c r="AF65" s="16">
        <v>0.22500000000000001</v>
      </c>
      <c r="AG65" s="16">
        <v>0.22</v>
      </c>
      <c r="AH65" s="16">
        <v>0.19900000000000001</v>
      </c>
      <c r="AI65" s="16">
        <v>0.19700000000000001</v>
      </c>
      <c r="AJ65" s="16">
        <v>0.19400000000000001</v>
      </c>
      <c r="AK65" s="16">
        <v>0.193</v>
      </c>
      <c r="AL65" s="16">
        <v>0.27300000000000002</v>
      </c>
      <c r="AM65" s="16">
        <v>0.32300000000000001</v>
      </c>
      <c r="AN65" s="40">
        <v>0.27</v>
      </c>
      <c r="AO65" s="40">
        <v>0.22</v>
      </c>
      <c r="AP65" s="40">
        <v>0.222</v>
      </c>
      <c r="AQ65" s="40">
        <v>0.21199999999999999</v>
      </c>
      <c r="AR65" s="40">
        <v>0.20799999999999999</v>
      </c>
      <c r="AS65" s="40">
        <v>0.20300000000000001</v>
      </c>
      <c r="AT65" s="40">
        <v>0.20200000000000001</v>
      </c>
      <c r="AU65" s="40">
        <v>0.20899999999999999</v>
      </c>
      <c r="AV65" s="40">
        <v>0.18</v>
      </c>
      <c r="AW65" s="40">
        <v>0.161</v>
      </c>
      <c r="AX65" s="40">
        <v>0.14499999999999999</v>
      </c>
      <c r="AY65" s="40">
        <v>0.15</v>
      </c>
      <c r="AZ65" s="40">
        <v>0.16700000000000001</v>
      </c>
      <c r="BA65" s="40">
        <v>0.152</v>
      </c>
      <c r="BB65" s="49">
        <v>0.16350000000000001</v>
      </c>
      <c r="BC65" s="40">
        <v>0.193</v>
      </c>
      <c r="BD65" s="50">
        <v>0.20399999999999999</v>
      </c>
      <c r="BE65" s="50" t="s">
        <v>38</v>
      </c>
      <c r="BF65" s="50" t="s">
        <v>38</v>
      </c>
      <c r="BG65" s="40">
        <v>0.255</v>
      </c>
      <c r="BH65" s="38">
        <v>0.24149999999999999</v>
      </c>
      <c r="BI65" s="38">
        <v>0.25950000000000001</v>
      </c>
      <c r="BJ65" s="38">
        <v>0.27300000000000002</v>
      </c>
      <c r="BK65" s="38">
        <v>0.2475</v>
      </c>
      <c r="BL65" s="38">
        <v>0.2555</v>
      </c>
      <c r="BM65" s="38">
        <v>0.26350000000000001</v>
      </c>
      <c r="BN65" s="38" t="s">
        <v>38</v>
      </c>
      <c r="BO65" s="40">
        <v>0.24299999999999999</v>
      </c>
      <c r="BP65" s="38">
        <v>0.23649999999999999</v>
      </c>
      <c r="BQ65" s="38">
        <v>0.184</v>
      </c>
      <c r="BR65" s="41">
        <v>0.20650000000000002</v>
      </c>
      <c r="BS65" s="41">
        <v>0.19850000000000001</v>
      </c>
      <c r="BT65" s="41">
        <v>0.20499999999999999</v>
      </c>
      <c r="BU65" s="42">
        <v>0.20350000000000001</v>
      </c>
      <c r="BV65" s="41">
        <v>0.17899999999999999</v>
      </c>
      <c r="BW65" s="42">
        <v>0.2235</v>
      </c>
      <c r="BX65" s="42" t="s">
        <v>38</v>
      </c>
      <c r="BY65" s="85">
        <f>(0.271+0.272)/2</f>
        <v>0.27150000000000002</v>
      </c>
      <c r="BZ65" s="85">
        <f>(0.346+0.378)/2</f>
        <v>0.36199999999999999</v>
      </c>
      <c r="CA65" s="86">
        <v>0.255</v>
      </c>
    </row>
    <row r="66" spans="1:79">
      <c r="A66" s="60">
        <v>53</v>
      </c>
      <c r="B66" s="82">
        <v>254461.35652100001</v>
      </c>
      <c r="C66" s="82">
        <v>4505680.3409799999</v>
      </c>
      <c r="D66" s="19">
        <v>0.28399999999999997</v>
      </c>
      <c r="E66" s="19">
        <v>0.29099999999999998</v>
      </c>
      <c r="F66" s="19">
        <v>0.29349999999999998</v>
      </c>
      <c r="G66" s="19">
        <v>0.29349999999999998</v>
      </c>
      <c r="H66" s="19">
        <v>0.29649999999999999</v>
      </c>
      <c r="I66" s="19">
        <v>0.20100000000000001</v>
      </c>
      <c r="J66" s="19">
        <v>0.18049999999999999</v>
      </c>
      <c r="K66" s="19">
        <v>0.151</v>
      </c>
      <c r="L66" s="19" t="s">
        <v>38</v>
      </c>
      <c r="M66" s="19" t="s">
        <v>38</v>
      </c>
      <c r="N66" s="23" t="s">
        <v>38</v>
      </c>
      <c r="O66" s="23" t="s">
        <v>38</v>
      </c>
      <c r="P66" s="23" t="s">
        <v>38</v>
      </c>
      <c r="Q66" s="23" t="s">
        <v>38</v>
      </c>
      <c r="R66" s="23" t="s">
        <v>38</v>
      </c>
      <c r="S66" s="23" t="s">
        <v>38</v>
      </c>
      <c r="T66" s="23">
        <v>0.307</v>
      </c>
      <c r="U66" s="23">
        <v>0.30499999999999999</v>
      </c>
      <c r="V66" s="23">
        <v>0.32300000000000001</v>
      </c>
      <c r="W66" s="23">
        <v>0.376</v>
      </c>
      <c r="X66" s="23">
        <v>0.318</v>
      </c>
      <c r="Y66" s="24">
        <v>0.29699999999999999</v>
      </c>
      <c r="Z66" s="23">
        <v>0.32100000000000001</v>
      </c>
      <c r="AA66" s="23">
        <v>0.313</v>
      </c>
      <c r="AB66" s="23">
        <v>0.33500000000000002</v>
      </c>
      <c r="AC66" s="24">
        <v>0.30199999999999999</v>
      </c>
      <c r="AD66" s="16">
        <v>0.26800000000000002</v>
      </c>
      <c r="AE66" s="16">
        <v>0.246</v>
      </c>
      <c r="AF66" s="16">
        <v>0.186</v>
      </c>
      <c r="AG66" s="16">
        <v>0.19600000000000001</v>
      </c>
      <c r="AH66" s="16">
        <v>0.17299999999999999</v>
      </c>
      <c r="AI66" s="16">
        <v>0.186</v>
      </c>
      <c r="AJ66" s="16">
        <v>0.17100000000000001</v>
      </c>
      <c r="AK66" s="16">
        <v>0.16400000000000001</v>
      </c>
      <c r="AL66" s="16">
        <v>0.24</v>
      </c>
      <c r="AM66" s="16">
        <v>0.33400000000000002</v>
      </c>
      <c r="AN66" s="40">
        <v>0.23899999999999999</v>
      </c>
      <c r="AO66" s="40">
        <v>0.22500000000000001</v>
      </c>
      <c r="AP66" s="40">
        <v>0.24099999999999999</v>
      </c>
      <c r="AQ66" s="40">
        <v>0.19900000000000001</v>
      </c>
      <c r="AR66" s="40">
        <v>0.219</v>
      </c>
      <c r="AS66" s="40">
        <v>0.19</v>
      </c>
      <c r="AT66" s="40">
        <v>0.189</v>
      </c>
      <c r="AU66" s="40">
        <v>0.16700000000000001</v>
      </c>
      <c r="AV66" s="40">
        <v>0.157</v>
      </c>
      <c r="AW66" s="40">
        <v>0.16200000000000001</v>
      </c>
      <c r="AX66" s="40">
        <v>0.14399999999999999</v>
      </c>
      <c r="AY66" s="40">
        <v>0.13</v>
      </c>
      <c r="AZ66" s="40">
        <v>0.13500000000000001</v>
      </c>
      <c r="BA66" s="40">
        <v>0.113</v>
      </c>
      <c r="BB66" s="49">
        <v>0.1295</v>
      </c>
      <c r="BC66" s="40">
        <v>0.17849999999999999</v>
      </c>
      <c r="BD66" s="50">
        <v>0.19850000000000001</v>
      </c>
      <c r="BE66" s="50" t="s">
        <v>38</v>
      </c>
      <c r="BF66" s="50">
        <v>0.17699999999999999</v>
      </c>
      <c r="BG66" s="40">
        <v>0.28149999999999997</v>
      </c>
      <c r="BH66" s="38">
        <v>0.252</v>
      </c>
      <c r="BI66" s="38">
        <v>0.26950000000000002</v>
      </c>
      <c r="BJ66" s="38">
        <v>0.27800000000000002</v>
      </c>
      <c r="BK66" s="38">
        <v>0.26</v>
      </c>
      <c r="BL66" s="38">
        <v>0.25700000000000001</v>
      </c>
      <c r="BM66" s="38">
        <v>0.27900000000000003</v>
      </c>
      <c r="BN66" s="38" t="s">
        <v>38</v>
      </c>
      <c r="BO66" s="40">
        <v>0.27900000000000003</v>
      </c>
      <c r="BP66" s="38">
        <v>0.26050000000000001</v>
      </c>
      <c r="BQ66" s="38">
        <v>0.185</v>
      </c>
      <c r="BR66" s="41">
        <v>0.18</v>
      </c>
      <c r="BS66" s="41">
        <v>0.18049999999999999</v>
      </c>
      <c r="BT66" s="41">
        <v>0.18099999999999999</v>
      </c>
      <c r="BU66" s="42">
        <v>0.1575</v>
      </c>
      <c r="BV66" s="41">
        <v>0.152</v>
      </c>
      <c r="BW66" s="42" t="s">
        <v>38</v>
      </c>
      <c r="BX66" s="42" t="s">
        <v>38</v>
      </c>
      <c r="BY66" s="85">
        <f>(0.324+0.307)/2</f>
        <v>0.3155</v>
      </c>
      <c r="BZ66" s="85">
        <f>(0.407+0.402)/2</f>
        <v>0.40449999999999997</v>
      </c>
      <c r="CA66" s="86">
        <v>0.30599999999999999</v>
      </c>
    </row>
    <row r="67" spans="1:79">
      <c r="A67" s="60" t="s">
        <v>18</v>
      </c>
      <c r="B67" s="82">
        <v>254462.48352099999</v>
      </c>
      <c r="C67" s="82">
        <v>4505680.94594</v>
      </c>
      <c r="D67" s="19" t="s">
        <v>38</v>
      </c>
      <c r="E67" s="19" t="s">
        <v>38</v>
      </c>
      <c r="F67" s="19" t="s">
        <v>38</v>
      </c>
      <c r="G67" s="19" t="s">
        <v>38</v>
      </c>
      <c r="H67" s="19" t="s">
        <v>38</v>
      </c>
      <c r="I67" s="19" t="s">
        <v>38</v>
      </c>
      <c r="J67" s="19" t="s">
        <v>38</v>
      </c>
      <c r="K67" s="19" t="s">
        <v>38</v>
      </c>
      <c r="L67" s="19">
        <v>0.19450000000000001</v>
      </c>
      <c r="M67" s="19" t="s">
        <v>38</v>
      </c>
      <c r="N67" s="23" t="s">
        <v>38</v>
      </c>
      <c r="O67" s="23" t="s">
        <v>38</v>
      </c>
      <c r="P67" s="23" t="s">
        <v>38</v>
      </c>
      <c r="Q67" s="23" t="s">
        <v>38</v>
      </c>
      <c r="R67" s="23" t="s">
        <v>38</v>
      </c>
      <c r="S67" s="23" t="s">
        <v>38</v>
      </c>
      <c r="T67" s="19" t="s">
        <v>38</v>
      </c>
      <c r="U67" s="19" t="s">
        <v>38</v>
      </c>
      <c r="V67" s="19" t="s">
        <v>38</v>
      </c>
      <c r="W67" s="19" t="s">
        <v>38</v>
      </c>
      <c r="X67" s="19" t="s">
        <v>38</v>
      </c>
      <c r="Y67" s="19" t="s">
        <v>38</v>
      </c>
      <c r="Z67" s="19" t="s">
        <v>38</v>
      </c>
      <c r="AA67" s="19" t="s">
        <v>38</v>
      </c>
      <c r="AB67" s="19" t="s">
        <v>38</v>
      </c>
      <c r="AC67" s="19" t="s">
        <v>38</v>
      </c>
      <c r="AD67" s="19" t="s">
        <v>38</v>
      </c>
      <c r="AE67" s="19" t="s">
        <v>38</v>
      </c>
      <c r="AF67" s="19" t="s">
        <v>38</v>
      </c>
      <c r="AG67" s="19" t="s">
        <v>38</v>
      </c>
      <c r="AH67" s="19" t="s">
        <v>38</v>
      </c>
      <c r="AI67" s="19" t="s">
        <v>38</v>
      </c>
      <c r="AJ67" s="19" t="s">
        <v>38</v>
      </c>
      <c r="AK67" s="19" t="s">
        <v>38</v>
      </c>
      <c r="AL67" s="19" t="s">
        <v>38</v>
      </c>
      <c r="AM67" s="19" t="s">
        <v>38</v>
      </c>
      <c r="AN67" s="19" t="s">
        <v>38</v>
      </c>
      <c r="AO67" s="19" t="s">
        <v>38</v>
      </c>
      <c r="AP67" s="19" t="s">
        <v>38</v>
      </c>
      <c r="AQ67" s="19" t="s">
        <v>38</v>
      </c>
      <c r="AR67" s="19" t="s">
        <v>38</v>
      </c>
      <c r="AS67" s="19" t="s">
        <v>38</v>
      </c>
      <c r="AT67" s="19" t="s">
        <v>38</v>
      </c>
      <c r="AU67" s="19" t="s">
        <v>38</v>
      </c>
      <c r="AV67" s="19" t="s">
        <v>38</v>
      </c>
      <c r="AW67" s="19" t="s">
        <v>38</v>
      </c>
      <c r="AX67" s="19" t="s">
        <v>38</v>
      </c>
      <c r="AY67" s="19" t="s">
        <v>38</v>
      </c>
      <c r="AZ67" s="19" t="s">
        <v>38</v>
      </c>
      <c r="BA67" s="19" t="s">
        <v>38</v>
      </c>
      <c r="BB67" s="19" t="s">
        <v>38</v>
      </c>
      <c r="BC67" s="19" t="s">
        <v>38</v>
      </c>
      <c r="BD67" s="19" t="s">
        <v>38</v>
      </c>
      <c r="BE67" s="19" t="s">
        <v>38</v>
      </c>
      <c r="BF67" s="19" t="s">
        <v>38</v>
      </c>
      <c r="BG67" s="19" t="s">
        <v>38</v>
      </c>
      <c r="BH67" s="19" t="s">
        <v>38</v>
      </c>
      <c r="BI67" s="19" t="s">
        <v>38</v>
      </c>
      <c r="BJ67" s="19" t="s">
        <v>38</v>
      </c>
      <c r="BK67" s="19" t="s">
        <v>38</v>
      </c>
      <c r="BL67" s="19" t="s">
        <v>38</v>
      </c>
      <c r="BM67" s="19" t="s">
        <v>38</v>
      </c>
      <c r="BN67" s="19" t="s">
        <v>38</v>
      </c>
      <c r="BO67" s="19" t="s">
        <v>38</v>
      </c>
      <c r="BP67" s="19" t="s">
        <v>38</v>
      </c>
      <c r="BQ67" s="19" t="s">
        <v>38</v>
      </c>
      <c r="BR67" s="19" t="s">
        <v>38</v>
      </c>
      <c r="BS67" s="19" t="s">
        <v>38</v>
      </c>
      <c r="BT67" s="19" t="s">
        <v>38</v>
      </c>
      <c r="BU67" s="19" t="s">
        <v>38</v>
      </c>
      <c r="BV67" s="19" t="s">
        <v>38</v>
      </c>
      <c r="BW67" s="19" t="s">
        <v>38</v>
      </c>
      <c r="BX67" s="19" t="s">
        <v>38</v>
      </c>
      <c r="BY67" s="85" t="s">
        <v>38</v>
      </c>
      <c r="BZ67" s="85" t="s">
        <v>38</v>
      </c>
      <c r="CA67" s="86" t="s">
        <v>38</v>
      </c>
    </row>
    <row r="68" spans="1:79">
      <c r="A68" s="60" t="s">
        <v>19</v>
      </c>
      <c r="B68" s="82">
        <v>254462.19347299999</v>
      </c>
      <c r="C68" s="82">
        <v>4505679.2486500004</v>
      </c>
      <c r="D68" s="19">
        <v>0.1855</v>
      </c>
      <c r="E68" s="19">
        <v>0.19850000000000001</v>
      </c>
      <c r="F68" s="19">
        <v>0.20599999999999999</v>
      </c>
      <c r="G68" s="19">
        <v>0.19700000000000001</v>
      </c>
      <c r="H68" s="19">
        <v>0.19800000000000001</v>
      </c>
      <c r="I68" s="19">
        <v>0.13800000000000001</v>
      </c>
      <c r="J68" s="19">
        <v>0.1245</v>
      </c>
      <c r="K68" s="19">
        <v>0.1045</v>
      </c>
      <c r="L68" s="19">
        <v>0.183</v>
      </c>
      <c r="M68" s="19">
        <v>8.7999999999999995E-2</v>
      </c>
      <c r="N68" s="16">
        <v>0.1145</v>
      </c>
      <c r="O68" s="16">
        <v>9.35E-2</v>
      </c>
      <c r="P68" s="16" t="s">
        <v>38</v>
      </c>
      <c r="Q68" s="16">
        <v>0.16200000000000001</v>
      </c>
      <c r="R68" s="23" t="s">
        <v>38</v>
      </c>
      <c r="S68" s="23" t="s">
        <v>38</v>
      </c>
      <c r="T68" s="16">
        <v>0.193</v>
      </c>
      <c r="U68" s="16">
        <v>0.20300000000000001</v>
      </c>
      <c r="V68" s="16">
        <v>0.219</v>
      </c>
      <c r="W68" s="16">
        <v>0.20599999999999999</v>
      </c>
      <c r="X68" s="23">
        <v>0.223</v>
      </c>
      <c r="Y68" s="19" t="s">
        <v>38</v>
      </c>
      <c r="Z68" s="23">
        <v>0.21199999999999999</v>
      </c>
      <c r="AA68" s="23">
        <v>0.20699999999999999</v>
      </c>
      <c r="AB68" s="19" t="s">
        <v>38</v>
      </c>
      <c r="AC68" s="24">
        <v>0.221</v>
      </c>
      <c r="AD68" s="16">
        <v>0.19400000000000001</v>
      </c>
      <c r="AE68" s="19" t="s">
        <v>38</v>
      </c>
      <c r="AF68" s="16">
        <v>0.14499999999999999</v>
      </c>
      <c r="AG68" s="16">
        <v>0.13200000000000001</v>
      </c>
      <c r="AH68" s="16">
        <v>0.13600000000000001</v>
      </c>
      <c r="AI68" s="19" t="s">
        <v>38</v>
      </c>
      <c r="AJ68" s="19" t="s">
        <v>38</v>
      </c>
      <c r="AK68" s="16">
        <v>0.125</v>
      </c>
      <c r="AL68" s="16">
        <v>0.17100000000000001</v>
      </c>
      <c r="AM68" s="16">
        <v>0.218</v>
      </c>
      <c r="AN68" s="40">
        <v>0.158</v>
      </c>
      <c r="AO68" s="19" t="s">
        <v>38</v>
      </c>
      <c r="AP68" s="19" t="s">
        <v>38</v>
      </c>
      <c r="AQ68" s="40">
        <v>0.13200000000000001</v>
      </c>
      <c r="AR68" s="19" t="s">
        <v>38</v>
      </c>
      <c r="AS68" s="40">
        <v>0.13200000000000001</v>
      </c>
      <c r="AT68" s="19" t="s">
        <v>38</v>
      </c>
      <c r="AU68" s="40">
        <v>0.125</v>
      </c>
      <c r="AV68" s="19" t="s">
        <v>38</v>
      </c>
      <c r="AW68" s="19" t="s">
        <v>38</v>
      </c>
      <c r="AX68" s="19" t="s">
        <v>38</v>
      </c>
      <c r="AY68" s="40">
        <v>0.112</v>
      </c>
      <c r="AZ68" s="40">
        <v>0.14000000000000001</v>
      </c>
      <c r="BA68" s="40">
        <v>0.13400000000000001</v>
      </c>
      <c r="BB68" s="49">
        <v>9.2499999999999999E-2</v>
      </c>
      <c r="BC68" s="40">
        <v>0.1595</v>
      </c>
      <c r="BD68" s="50">
        <v>0.13900000000000001</v>
      </c>
      <c r="BE68" s="19" t="s">
        <v>38</v>
      </c>
      <c r="BF68" s="50">
        <v>0.1565</v>
      </c>
      <c r="BG68" s="40">
        <v>0.1895</v>
      </c>
      <c r="BH68" s="19" t="s">
        <v>38</v>
      </c>
      <c r="BI68" s="19" t="s">
        <v>38</v>
      </c>
      <c r="BJ68" s="19" t="s">
        <v>38</v>
      </c>
      <c r="BK68" s="38">
        <v>0.1885</v>
      </c>
      <c r="BL68" s="19" t="s">
        <v>38</v>
      </c>
      <c r="BM68" s="19" t="s">
        <v>38</v>
      </c>
      <c r="BN68" s="19" t="s">
        <v>38</v>
      </c>
      <c r="BO68" s="19" t="s">
        <v>38</v>
      </c>
      <c r="BP68" s="19" t="s">
        <v>38</v>
      </c>
      <c r="BQ68" s="38">
        <v>0.13</v>
      </c>
      <c r="BR68" s="41">
        <v>0.13300000000000001</v>
      </c>
      <c r="BS68" s="41">
        <v>0.13450000000000001</v>
      </c>
      <c r="BT68" s="41">
        <v>0.13450000000000001</v>
      </c>
      <c r="BU68" s="42">
        <v>0.1125</v>
      </c>
      <c r="BV68" s="19" t="s">
        <v>38</v>
      </c>
      <c r="BW68" s="19" t="s">
        <v>38</v>
      </c>
      <c r="BX68" s="19" t="s">
        <v>38</v>
      </c>
      <c r="BY68" s="85">
        <f>(0.248+0.24)/2</f>
        <v>0.24399999999999999</v>
      </c>
      <c r="BZ68" s="85" t="s">
        <v>38</v>
      </c>
      <c r="CA68" s="86" t="s">
        <v>38</v>
      </c>
    </row>
    <row r="69" spans="1:79">
      <c r="A69" s="60" t="s">
        <v>20</v>
      </c>
      <c r="B69" s="82">
        <v>254460.18427299999</v>
      </c>
      <c r="C69" s="82">
        <v>4505679.29464</v>
      </c>
      <c r="D69" s="19">
        <v>0.2235</v>
      </c>
      <c r="E69" s="19">
        <v>0.22600000000000001</v>
      </c>
      <c r="F69" s="19">
        <v>0.23200000000000001</v>
      </c>
      <c r="G69" s="19">
        <v>0.2235</v>
      </c>
      <c r="H69" s="19">
        <v>0.20499999999999999</v>
      </c>
      <c r="I69" s="19">
        <v>0.16750000000000001</v>
      </c>
      <c r="J69" s="19">
        <v>0.152</v>
      </c>
      <c r="K69" s="19">
        <v>0.1205</v>
      </c>
      <c r="L69" s="19">
        <v>0.21099999999999999</v>
      </c>
      <c r="M69" s="19">
        <v>0.1065</v>
      </c>
      <c r="N69" s="16">
        <v>0.13</v>
      </c>
      <c r="O69" s="16">
        <v>0.11549999999999999</v>
      </c>
      <c r="P69" s="16">
        <v>0.11899999999999999</v>
      </c>
      <c r="Q69" s="16">
        <v>0.1575</v>
      </c>
      <c r="R69" s="16">
        <v>0.18099999999999999</v>
      </c>
      <c r="S69" s="16">
        <v>0.17849999999999999</v>
      </c>
      <c r="T69" s="16">
        <v>0.23100000000000001</v>
      </c>
      <c r="U69" s="16">
        <v>0.23200000000000001</v>
      </c>
      <c r="V69" s="16">
        <v>0.253</v>
      </c>
      <c r="W69" s="16">
        <v>0.22600000000000001</v>
      </c>
      <c r="X69" s="23">
        <v>0.252</v>
      </c>
      <c r="Y69" s="19" t="s">
        <v>38</v>
      </c>
      <c r="Z69" s="23">
        <v>0.24299999999999999</v>
      </c>
      <c r="AA69" s="23">
        <v>0.247</v>
      </c>
      <c r="AB69" s="19" t="s">
        <v>38</v>
      </c>
      <c r="AC69" s="24">
        <v>0.23799999999999999</v>
      </c>
      <c r="AD69" s="16">
        <v>0.253</v>
      </c>
      <c r="AE69" s="19" t="s">
        <v>38</v>
      </c>
      <c r="AF69" s="16">
        <v>0.14799999999999999</v>
      </c>
      <c r="AG69" s="16">
        <v>0.14000000000000001</v>
      </c>
      <c r="AH69" s="16">
        <v>0.153</v>
      </c>
      <c r="AI69" s="19" t="s">
        <v>38</v>
      </c>
      <c r="AJ69" s="19" t="s">
        <v>38</v>
      </c>
      <c r="AK69" s="16">
        <v>0.13</v>
      </c>
      <c r="AL69" s="16">
        <v>0.16800000000000001</v>
      </c>
      <c r="AM69" s="16">
        <v>0.26900000000000002</v>
      </c>
      <c r="AN69" s="40">
        <v>0.2</v>
      </c>
      <c r="AO69" s="19" t="s">
        <v>38</v>
      </c>
      <c r="AP69" s="19" t="s">
        <v>38</v>
      </c>
      <c r="AQ69" s="40">
        <v>0.15</v>
      </c>
      <c r="AR69" s="19" t="s">
        <v>38</v>
      </c>
      <c r="AS69" s="40">
        <v>0.156</v>
      </c>
      <c r="AT69" s="19" t="s">
        <v>38</v>
      </c>
      <c r="AU69" s="40">
        <v>0.13500000000000001</v>
      </c>
      <c r="AV69" s="19" t="s">
        <v>38</v>
      </c>
      <c r="AW69" s="19" t="s">
        <v>38</v>
      </c>
      <c r="AX69" s="19" t="s">
        <v>38</v>
      </c>
      <c r="AY69" s="40">
        <v>1.4999999999999999E-2</v>
      </c>
      <c r="AZ69" s="40">
        <v>0.19900000000000001</v>
      </c>
      <c r="BA69" s="40">
        <v>8.0000000000000002E-3</v>
      </c>
      <c r="BB69" s="49">
        <v>0.1115</v>
      </c>
      <c r="BC69" s="40">
        <v>0.15</v>
      </c>
      <c r="BD69" s="50">
        <v>0.17099999999999999</v>
      </c>
      <c r="BE69" s="19" t="s">
        <v>38</v>
      </c>
      <c r="BF69" s="50">
        <v>0.16650000000000001</v>
      </c>
      <c r="BG69" s="40">
        <v>0.22450000000000001</v>
      </c>
      <c r="BH69" s="19" t="s">
        <v>38</v>
      </c>
      <c r="BI69" s="19" t="s">
        <v>38</v>
      </c>
      <c r="BJ69" s="19" t="s">
        <v>38</v>
      </c>
      <c r="BK69" s="38">
        <v>0.215</v>
      </c>
      <c r="BL69" s="19" t="s">
        <v>38</v>
      </c>
      <c r="BM69" s="19" t="s">
        <v>38</v>
      </c>
      <c r="BN69" s="19" t="s">
        <v>38</v>
      </c>
      <c r="BO69" s="19" t="s">
        <v>38</v>
      </c>
      <c r="BP69" s="19" t="s">
        <v>38</v>
      </c>
      <c r="BQ69" s="38">
        <v>0.13</v>
      </c>
      <c r="BR69" s="41">
        <v>0.14100000000000001</v>
      </c>
      <c r="BS69" s="41">
        <v>0.1215</v>
      </c>
      <c r="BT69" s="41">
        <v>0.1235</v>
      </c>
      <c r="BU69" s="42">
        <v>0.115</v>
      </c>
      <c r="BV69" s="19" t="s">
        <v>38</v>
      </c>
      <c r="BW69" s="19" t="s">
        <v>38</v>
      </c>
      <c r="BX69" s="19" t="s">
        <v>38</v>
      </c>
      <c r="BY69" s="85">
        <f>(0.249+0.219)/2</f>
        <v>0.23399999999999999</v>
      </c>
      <c r="BZ69" s="85">
        <f>(0.321+0.29)/2</f>
        <v>0.30549999999999999</v>
      </c>
      <c r="CA69" s="86">
        <v>0.24</v>
      </c>
    </row>
    <row r="70" spans="1:79">
      <c r="A70" s="60" t="s">
        <v>21</v>
      </c>
      <c r="B70" s="82">
        <v>254460.43630199999</v>
      </c>
      <c r="C70" s="82">
        <v>4505681.1553699998</v>
      </c>
      <c r="D70" s="19">
        <v>9.6000000000000002E-2</v>
      </c>
      <c r="E70" s="19">
        <v>2.5000000000000001E-3</v>
      </c>
      <c r="F70" s="19">
        <v>4.7E-2</v>
      </c>
      <c r="G70" s="19">
        <v>7.85E-2</v>
      </c>
      <c r="H70" s="19">
        <v>7.4999999999999997E-2</v>
      </c>
      <c r="I70" s="19">
        <v>6.0000000000000001E-3</v>
      </c>
      <c r="J70" s="19">
        <v>0</v>
      </c>
      <c r="K70" s="19">
        <v>0</v>
      </c>
      <c r="L70" s="19">
        <v>0.18149999999999999</v>
      </c>
      <c r="M70" s="19">
        <v>6.7000000000000004E-2</v>
      </c>
      <c r="N70" s="16">
        <v>0.26</v>
      </c>
      <c r="O70" s="16">
        <v>2.5000000000000001E-3</v>
      </c>
      <c r="P70" s="16" t="s">
        <v>38</v>
      </c>
      <c r="Q70" s="16">
        <v>5.6000000000000001E-2</v>
      </c>
      <c r="R70" s="23" t="s">
        <v>38</v>
      </c>
      <c r="S70" s="23" t="s">
        <v>38</v>
      </c>
      <c r="T70" s="16">
        <v>3.5000000000000003E-2</v>
      </c>
      <c r="U70" s="16">
        <v>7.3999999999999996E-2</v>
      </c>
      <c r="V70" s="16">
        <v>7.6999999999999999E-2</v>
      </c>
      <c r="W70" s="16">
        <v>1.4999999999999999E-2</v>
      </c>
      <c r="X70" s="23">
        <v>6.0999999999999999E-2</v>
      </c>
      <c r="Y70" s="19" t="s">
        <v>38</v>
      </c>
      <c r="Z70" s="23">
        <v>8.3000000000000004E-2</v>
      </c>
      <c r="AA70" s="23">
        <v>5.3999999999999999E-2</v>
      </c>
      <c r="AB70" s="19" t="s">
        <v>38</v>
      </c>
      <c r="AC70" s="24">
        <v>6.8000000000000005E-2</v>
      </c>
      <c r="AD70" s="16">
        <v>0.09</v>
      </c>
      <c r="AE70" s="19" t="s">
        <v>38</v>
      </c>
      <c r="AF70" s="16">
        <v>0.05</v>
      </c>
      <c r="AG70" s="16">
        <v>4.2000000000000003E-2</v>
      </c>
      <c r="AH70" s="16">
        <v>2.4E-2</v>
      </c>
      <c r="AI70" s="19" t="s">
        <v>38</v>
      </c>
      <c r="AJ70" s="19" t="s">
        <v>38</v>
      </c>
      <c r="AK70" s="16">
        <v>2.9000000000000001E-2</v>
      </c>
      <c r="AL70" s="16">
        <v>1.2999999999999999E-2</v>
      </c>
      <c r="AM70" s="16">
        <v>8.6999999999999994E-2</v>
      </c>
      <c r="AN70" s="40">
        <v>5.5E-2</v>
      </c>
      <c r="AO70" s="19" t="s">
        <v>38</v>
      </c>
      <c r="AP70" s="19" t="s">
        <v>38</v>
      </c>
      <c r="AQ70" s="40">
        <v>0.01</v>
      </c>
      <c r="AR70" s="19" t="s">
        <v>38</v>
      </c>
      <c r="AS70" s="40">
        <v>2.5000000000000001E-2</v>
      </c>
      <c r="AT70" s="19" t="s">
        <v>38</v>
      </c>
      <c r="AU70" s="40">
        <v>4.1000000000000002E-2</v>
      </c>
      <c r="AV70" s="19" t="s">
        <v>38</v>
      </c>
      <c r="AW70" s="19" t="s">
        <v>38</v>
      </c>
      <c r="AX70" s="19" t="s">
        <v>38</v>
      </c>
      <c r="AY70" s="40">
        <v>0.2</v>
      </c>
      <c r="AZ70" s="40">
        <v>0.26300000000000001</v>
      </c>
      <c r="BA70" s="40">
        <v>0.21099999999999999</v>
      </c>
      <c r="BB70" s="49">
        <v>0</v>
      </c>
      <c r="BC70" s="40">
        <v>0.15</v>
      </c>
      <c r="BD70" s="50">
        <v>2.1999999999999999E-2</v>
      </c>
      <c r="BE70" s="19" t="s">
        <v>38</v>
      </c>
      <c r="BF70" s="50" t="s">
        <v>38</v>
      </c>
      <c r="BG70" s="40">
        <v>6.3E-2</v>
      </c>
      <c r="BH70" s="19" t="s">
        <v>38</v>
      </c>
      <c r="BI70" s="19" t="s">
        <v>38</v>
      </c>
      <c r="BJ70" s="19" t="s">
        <v>38</v>
      </c>
      <c r="BK70" s="38">
        <v>0.26100000000000001</v>
      </c>
      <c r="BL70" s="19" t="s">
        <v>38</v>
      </c>
      <c r="BM70" s="19" t="s">
        <v>38</v>
      </c>
      <c r="BN70" s="19" t="s">
        <v>38</v>
      </c>
      <c r="BO70" s="19" t="s">
        <v>38</v>
      </c>
      <c r="BP70" s="19" t="s">
        <v>38</v>
      </c>
      <c r="BQ70" s="38">
        <v>0</v>
      </c>
      <c r="BR70" s="41">
        <v>8.9999999999999993E-3</v>
      </c>
      <c r="BS70" s="41">
        <v>0</v>
      </c>
      <c r="BT70" s="41">
        <v>3.5000000000000001E-3</v>
      </c>
      <c r="BU70" s="42">
        <v>3.0000000000000001E-3</v>
      </c>
      <c r="BV70" s="19" t="s">
        <v>38</v>
      </c>
      <c r="BW70" s="19" t="s">
        <v>38</v>
      </c>
      <c r="BX70" s="19" t="s">
        <v>38</v>
      </c>
      <c r="BY70" s="85">
        <f>(0.152+0.12)/2</f>
        <v>0.13600000000000001</v>
      </c>
      <c r="BZ70" s="85">
        <f>(0.21+0.181)/2</f>
        <v>0.19550000000000001</v>
      </c>
      <c r="CA70" s="86">
        <v>0.13650000000000001</v>
      </c>
    </row>
    <row r="71" spans="1:79">
      <c r="A71" s="60">
        <v>54</v>
      </c>
      <c r="B71" s="82">
        <v>254459.10776799999</v>
      </c>
      <c r="C71" s="82">
        <v>4505704.5320499996</v>
      </c>
      <c r="D71" s="19" t="s">
        <v>38</v>
      </c>
      <c r="E71" s="19" t="s">
        <v>38</v>
      </c>
      <c r="F71" s="19" t="s">
        <v>38</v>
      </c>
      <c r="G71" s="19" t="s">
        <v>38</v>
      </c>
      <c r="H71" s="19" t="s">
        <v>38</v>
      </c>
      <c r="I71" s="19" t="s">
        <v>38</v>
      </c>
      <c r="J71" s="19" t="s">
        <v>38</v>
      </c>
      <c r="K71" s="19" t="s">
        <v>38</v>
      </c>
      <c r="L71" s="19" t="s">
        <v>38</v>
      </c>
      <c r="M71" s="19" t="s">
        <v>38</v>
      </c>
      <c r="N71" s="23" t="s">
        <v>38</v>
      </c>
      <c r="O71" s="23" t="s">
        <v>38</v>
      </c>
      <c r="P71" s="23" t="s">
        <v>38</v>
      </c>
      <c r="Q71" s="23" t="s">
        <v>38</v>
      </c>
      <c r="R71" s="23" t="s">
        <v>38</v>
      </c>
      <c r="S71" s="23" t="s">
        <v>38</v>
      </c>
      <c r="T71" s="19" t="s">
        <v>38</v>
      </c>
      <c r="U71" s="19" t="s">
        <v>38</v>
      </c>
      <c r="V71" s="19" t="s">
        <v>38</v>
      </c>
      <c r="W71" s="19" t="s">
        <v>38</v>
      </c>
      <c r="X71" s="19" t="s">
        <v>38</v>
      </c>
      <c r="Y71" s="19" t="s">
        <v>38</v>
      </c>
      <c r="Z71" s="19" t="s">
        <v>38</v>
      </c>
      <c r="AA71" s="19" t="s">
        <v>38</v>
      </c>
      <c r="AB71" s="19" t="s">
        <v>38</v>
      </c>
      <c r="AC71" s="19" t="s">
        <v>38</v>
      </c>
      <c r="AD71" s="19" t="s">
        <v>38</v>
      </c>
      <c r="AE71" s="19" t="s">
        <v>38</v>
      </c>
      <c r="AF71" s="19" t="s">
        <v>38</v>
      </c>
      <c r="AG71" s="19" t="s">
        <v>38</v>
      </c>
      <c r="AH71" s="19" t="s">
        <v>38</v>
      </c>
      <c r="AI71" s="19" t="s">
        <v>38</v>
      </c>
      <c r="AJ71" s="19" t="s">
        <v>38</v>
      </c>
      <c r="AK71" s="19" t="s">
        <v>38</v>
      </c>
      <c r="AL71" s="19" t="s">
        <v>38</v>
      </c>
      <c r="AM71" s="19" t="s">
        <v>38</v>
      </c>
      <c r="AN71" s="19" t="s">
        <v>38</v>
      </c>
      <c r="AO71" s="19" t="s">
        <v>38</v>
      </c>
      <c r="AP71" s="19" t="s">
        <v>38</v>
      </c>
      <c r="AQ71" s="19" t="s">
        <v>38</v>
      </c>
      <c r="AR71" s="19" t="s">
        <v>38</v>
      </c>
      <c r="AS71" s="19" t="s">
        <v>38</v>
      </c>
      <c r="AT71" s="19" t="s">
        <v>38</v>
      </c>
      <c r="AU71" s="19" t="s">
        <v>38</v>
      </c>
      <c r="AV71" s="19" t="s">
        <v>38</v>
      </c>
      <c r="AW71" s="19" t="s">
        <v>38</v>
      </c>
      <c r="AX71" s="19" t="s">
        <v>38</v>
      </c>
      <c r="AY71" s="19" t="s">
        <v>38</v>
      </c>
      <c r="AZ71" s="19" t="s">
        <v>38</v>
      </c>
      <c r="BA71" s="19" t="s">
        <v>38</v>
      </c>
      <c r="BB71" s="19" t="s">
        <v>38</v>
      </c>
      <c r="BC71" s="19" t="s">
        <v>38</v>
      </c>
      <c r="BD71" s="19" t="s">
        <v>38</v>
      </c>
      <c r="BE71" s="19" t="s">
        <v>38</v>
      </c>
      <c r="BF71" s="19" t="s">
        <v>38</v>
      </c>
      <c r="BG71" s="19" t="s">
        <v>38</v>
      </c>
      <c r="BH71" s="19" t="s">
        <v>38</v>
      </c>
      <c r="BI71" s="19" t="s">
        <v>38</v>
      </c>
      <c r="BJ71" s="19" t="s">
        <v>38</v>
      </c>
      <c r="BK71" s="19" t="s">
        <v>38</v>
      </c>
      <c r="BL71" s="19" t="s">
        <v>38</v>
      </c>
      <c r="BM71" s="19" t="s">
        <v>38</v>
      </c>
      <c r="BN71" s="19" t="s">
        <v>38</v>
      </c>
      <c r="BO71" s="19" t="s">
        <v>38</v>
      </c>
      <c r="BP71" s="19" t="s">
        <v>38</v>
      </c>
      <c r="BQ71" s="19" t="s">
        <v>38</v>
      </c>
      <c r="BR71" s="19" t="s">
        <v>38</v>
      </c>
      <c r="BS71" s="19" t="s">
        <v>38</v>
      </c>
      <c r="BT71" s="19" t="s">
        <v>38</v>
      </c>
      <c r="BU71" s="19" t="s">
        <v>38</v>
      </c>
      <c r="BV71" s="19" t="s">
        <v>38</v>
      </c>
      <c r="BW71" s="19" t="s">
        <v>38</v>
      </c>
      <c r="BX71" s="19" t="s">
        <v>38</v>
      </c>
      <c r="BY71" s="69" t="s">
        <v>38</v>
      </c>
      <c r="BZ71" s="69" t="s">
        <v>38</v>
      </c>
      <c r="CA71" s="86" t="s">
        <v>38</v>
      </c>
    </row>
    <row r="72" spans="1:79">
      <c r="A72" s="60">
        <v>55</v>
      </c>
      <c r="B72" s="82">
        <v>254464.43786400001</v>
      </c>
      <c r="C72" s="82">
        <v>4505623.9690100001</v>
      </c>
      <c r="D72" s="19">
        <v>0.28849999999999998</v>
      </c>
      <c r="E72" s="19">
        <v>0.27200000000000002</v>
      </c>
      <c r="F72" s="19">
        <v>0.28999999999999998</v>
      </c>
      <c r="G72" s="19">
        <v>0.28999999999999998</v>
      </c>
      <c r="H72" s="19">
        <v>0.28499999999999998</v>
      </c>
      <c r="I72" s="19">
        <v>0.23649999999999999</v>
      </c>
      <c r="J72" s="19">
        <v>0.222</v>
      </c>
      <c r="K72" s="19">
        <v>0.19</v>
      </c>
      <c r="L72" s="19" t="s">
        <v>38</v>
      </c>
      <c r="M72" s="19" t="s">
        <v>38</v>
      </c>
      <c r="N72" s="23" t="s">
        <v>38</v>
      </c>
      <c r="O72" s="23" t="s">
        <v>38</v>
      </c>
      <c r="P72" s="23" t="s">
        <v>38</v>
      </c>
      <c r="Q72" s="23" t="s">
        <v>38</v>
      </c>
      <c r="R72" s="23" t="s">
        <v>38</v>
      </c>
      <c r="S72" s="23" t="s">
        <v>38</v>
      </c>
      <c r="T72" s="23">
        <v>0.308</v>
      </c>
      <c r="U72" s="23">
        <v>0.30499999999999999</v>
      </c>
      <c r="V72" s="19" t="s">
        <v>38</v>
      </c>
      <c r="W72" s="23">
        <v>0.34899999999999998</v>
      </c>
      <c r="X72" s="23">
        <v>0.317</v>
      </c>
      <c r="Y72" s="24">
        <v>0.30299999999999999</v>
      </c>
      <c r="Z72" s="23">
        <v>0.31</v>
      </c>
      <c r="AA72" s="23">
        <v>0.31</v>
      </c>
      <c r="AB72" s="23">
        <v>0.33</v>
      </c>
      <c r="AC72" s="24">
        <v>0.313</v>
      </c>
      <c r="AD72" s="16">
        <v>0.30499999999999999</v>
      </c>
      <c r="AE72" s="16">
        <v>0.27</v>
      </c>
      <c r="AF72" s="16">
        <v>0.23599999999999999</v>
      </c>
      <c r="AG72" s="16">
        <v>0.23</v>
      </c>
      <c r="AH72" s="16">
        <v>0.20599999999999999</v>
      </c>
      <c r="AI72" s="16">
        <v>0.22800000000000001</v>
      </c>
      <c r="AJ72" s="16">
        <v>0.20100000000000001</v>
      </c>
      <c r="AK72" s="16">
        <v>0.21199999999999999</v>
      </c>
      <c r="AL72" s="16">
        <v>0.22500000000000001</v>
      </c>
      <c r="AM72" s="16">
        <v>0.28499999999999998</v>
      </c>
      <c r="AN72" s="40">
        <v>0.24199999999999999</v>
      </c>
      <c r="AO72" s="40">
        <v>0.20899999999999999</v>
      </c>
      <c r="AP72" s="40">
        <v>0.25900000000000001</v>
      </c>
      <c r="AQ72" s="40">
        <v>0.25600000000000001</v>
      </c>
      <c r="AR72" s="40">
        <v>0.251</v>
      </c>
      <c r="AS72" s="40">
        <v>0.23300000000000001</v>
      </c>
      <c r="AT72" s="40">
        <v>0.23799999999999999</v>
      </c>
      <c r="AU72" s="40">
        <v>0.23300000000000001</v>
      </c>
      <c r="AV72" s="40">
        <v>0.22600000000000001</v>
      </c>
      <c r="AW72" s="40">
        <v>0.188</v>
      </c>
      <c r="AX72" s="40">
        <v>0.191</v>
      </c>
      <c r="AY72" s="40">
        <v>0.18</v>
      </c>
      <c r="AZ72" s="40">
        <v>0.23599999999999999</v>
      </c>
      <c r="BA72" s="40">
        <v>0.26600000000000001</v>
      </c>
      <c r="BB72" s="49">
        <v>0.16500000000000001</v>
      </c>
      <c r="BC72" s="40">
        <v>0.2195</v>
      </c>
      <c r="BD72" s="50">
        <v>0.24399999999999999</v>
      </c>
      <c r="BE72" s="50">
        <v>0.23799999999999999</v>
      </c>
      <c r="BF72" s="50">
        <v>0.14499999999999999</v>
      </c>
      <c r="BG72" s="40">
        <v>0.25750000000000001</v>
      </c>
      <c r="BH72" s="38">
        <v>0.26550000000000001</v>
      </c>
      <c r="BI72" s="38">
        <v>0.28749999999999998</v>
      </c>
      <c r="BJ72" s="38">
        <v>0.28949999999999998</v>
      </c>
      <c r="BK72" s="38">
        <v>0.27550000000000002</v>
      </c>
      <c r="BL72" s="38">
        <v>0.26800000000000002</v>
      </c>
      <c r="BM72" s="38">
        <v>0.27750000000000002</v>
      </c>
      <c r="BN72" s="19" t="s">
        <v>38</v>
      </c>
      <c r="BO72" s="40">
        <v>0.29449999999999998</v>
      </c>
      <c r="BP72" s="38">
        <v>0.27200000000000002</v>
      </c>
      <c r="BQ72" s="38">
        <v>0.20949999999999999</v>
      </c>
      <c r="BR72" s="41">
        <v>0.20400000000000001</v>
      </c>
      <c r="BS72" s="41">
        <v>0.20599999999999999</v>
      </c>
      <c r="BT72" s="41">
        <v>0.20449999999999999</v>
      </c>
      <c r="BU72" s="42">
        <v>0.19900000000000001</v>
      </c>
      <c r="BV72" s="41">
        <v>0.20250000000000001</v>
      </c>
      <c r="BW72" s="19" t="s">
        <v>38</v>
      </c>
      <c r="BX72" s="19" t="s">
        <v>38</v>
      </c>
      <c r="BY72" s="85">
        <f>(0.277+0.3)/2</f>
        <v>0.28849999999999998</v>
      </c>
      <c r="BZ72" s="85">
        <f>(0.361+0.378)/2</f>
        <v>0.3695</v>
      </c>
      <c r="CA72" s="86">
        <v>0.29699999999999999</v>
      </c>
    </row>
    <row r="73" spans="1:79">
      <c r="A73" s="60" t="s">
        <v>22</v>
      </c>
      <c r="B73" s="82">
        <v>254465.50736700001</v>
      </c>
      <c r="C73" s="82">
        <v>4505625.0454799999</v>
      </c>
      <c r="D73" s="19">
        <v>0.26200000000000001</v>
      </c>
      <c r="E73" s="19">
        <v>0.28799999999999998</v>
      </c>
      <c r="F73" s="19">
        <v>0.3155</v>
      </c>
      <c r="G73" s="19">
        <v>0.32</v>
      </c>
      <c r="H73" s="19">
        <v>0.29849999999999999</v>
      </c>
      <c r="I73" s="19">
        <v>0.246</v>
      </c>
      <c r="J73" s="19">
        <v>0.224</v>
      </c>
      <c r="K73" s="19">
        <v>0.18099999999999999</v>
      </c>
      <c r="L73" s="19" t="s">
        <v>38</v>
      </c>
      <c r="M73" s="19">
        <v>0.16500000000000001</v>
      </c>
      <c r="N73" s="16">
        <v>0.185</v>
      </c>
      <c r="O73" s="16">
        <v>0.16500000000000001</v>
      </c>
      <c r="P73" s="16">
        <v>0.16200000000000001</v>
      </c>
      <c r="Q73" s="16">
        <v>0.245</v>
      </c>
      <c r="R73" s="16">
        <v>0.2525</v>
      </c>
      <c r="S73" s="23" t="s">
        <v>38</v>
      </c>
      <c r="T73" s="16">
        <v>0.33900000000000002</v>
      </c>
      <c r="U73" s="16">
        <v>0.32300000000000001</v>
      </c>
      <c r="V73" s="19" t="s">
        <v>38</v>
      </c>
      <c r="W73" s="16">
        <v>0.33500000000000002</v>
      </c>
      <c r="X73" s="23">
        <v>0.35499999999999998</v>
      </c>
      <c r="Y73" s="24" t="s">
        <v>38</v>
      </c>
      <c r="Z73" s="23">
        <v>0.33800000000000002</v>
      </c>
      <c r="AA73" s="23">
        <v>0.33800000000000002</v>
      </c>
      <c r="AB73" s="23" t="s">
        <v>38</v>
      </c>
      <c r="AC73" s="24">
        <v>0.30299999999999999</v>
      </c>
      <c r="AD73" s="16">
        <v>0.309</v>
      </c>
      <c r="AE73" s="16" t="s">
        <v>38</v>
      </c>
      <c r="AF73" s="16">
        <v>0.23899999999999999</v>
      </c>
      <c r="AG73" s="16">
        <v>0.23200000000000001</v>
      </c>
      <c r="AH73" s="16">
        <v>0.20699999999999999</v>
      </c>
      <c r="AI73" s="16" t="s">
        <v>38</v>
      </c>
      <c r="AJ73" s="16" t="s">
        <v>38</v>
      </c>
      <c r="AK73" s="16">
        <v>0.19900000000000001</v>
      </c>
      <c r="AL73" s="16">
        <v>0.217</v>
      </c>
      <c r="AM73" s="16">
        <v>0.39400000000000002</v>
      </c>
      <c r="AN73" s="40">
        <v>0.29499999999999998</v>
      </c>
      <c r="AO73" s="40" t="s">
        <v>38</v>
      </c>
      <c r="AP73" s="40" t="s">
        <v>38</v>
      </c>
      <c r="AQ73" s="40">
        <v>0.251</v>
      </c>
      <c r="AR73" s="40" t="s">
        <v>38</v>
      </c>
      <c r="AS73" s="40">
        <v>0.23</v>
      </c>
      <c r="AT73" s="40" t="s">
        <v>38</v>
      </c>
      <c r="AU73" s="40">
        <v>0.22500000000000001</v>
      </c>
      <c r="AV73" s="40" t="s">
        <v>38</v>
      </c>
      <c r="AW73" s="40" t="s">
        <v>38</v>
      </c>
      <c r="AX73" s="40" t="s">
        <v>38</v>
      </c>
      <c r="AY73" s="40">
        <v>0.21199999999999999</v>
      </c>
      <c r="AZ73" s="40">
        <v>0.216</v>
      </c>
      <c r="BA73" s="40">
        <v>0.183</v>
      </c>
      <c r="BB73" s="49">
        <v>0.21200000000000002</v>
      </c>
      <c r="BC73" s="40">
        <v>0.2145</v>
      </c>
      <c r="BD73" s="50">
        <v>0.29199999999999998</v>
      </c>
      <c r="BE73" s="50">
        <v>0.29099999999999998</v>
      </c>
      <c r="BF73" s="50">
        <v>0.21</v>
      </c>
      <c r="BG73" s="40">
        <v>0.32100000000000001</v>
      </c>
      <c r="BH73" s="38" t="s">
        <v>38</v>
      </c>
      <c r="BI73" s="38" t="s">
        <v>38</v>
      </c>
      <c r="BJ73" s="38" t="s">
        <v>38</v>
      </c>
      <c r="BK73" s="38">
        <v>0.29349999999999998</v>
      </c>
      <c r="BL73" s="38" t="s">
        <v>38</v>
      </c>
      <c r="BM73" s="38" t="s">
        <v>38</v>
      </c>
      <c r="BN73" s="38" t="s">
        <v>38</v>
      </c>
      <c r="BO73" s="38" t="s">
        <v>38</v>
      </c>
      <c r="BP73" s="38" t="s">
        <v>38</v>
      </c>
      <c r="BQ73" s="38">
        <v>0.216</v>
      </c>
      <c r="BR73" s="41">
        <v>0.215</v>
      </c>
      <c r="BS73" s="41">
        <v>0.216</v>
      </c>
      <c r="BT73" s="41">
        <v>0.20950000000000002</v>
      </c>
      <c r="BU73" s="42">
        <v>0.19850000000000001</v>
      </c>
      <c r="BV73" s="41" t="s">
        <v>38</v>
      </c>
      <c r="BW73" s="42">
        <v>0.2215</v>
      </c>
      <c r="BX73" s="42" t="s">
        <v>38</v>
      </c>
      <c r="BY73" s="85">
        <f>(0.293+0.336)/2</f>
        <v>0.3145</v>
      </c>
      <c r="BZ73" s="85">
        <f>(0.409+0.427)/2</f>
        <v>0.41799999999999998</v>
      </c>
      <c r="CA73" s="86">
        <v>0.31</v>
      </c>
    </row>
    <row r="74" spans="1:79">
      <c r="A74" s="60" t="s">
        <v>23</v>
      </c>
      <c r="B74" s="82">
        <v>254465.36725000001</v>
      </c>
      <c r="C74" s="82">
        <v>4505622.9550599996</v>
      </c>
      <c r="D74" s="19">
        <v>0.28949999999999998</v>
      </c>
      <c r="E74" s="19">
        <v>0.31900000000000001</v>
      </c>
      <c r="F74" s="19">
        <v>0.28599999999999998</v>
      </c>
      <c r="G74" s="19">
        <v>0.29649999999999999</v>
      </c>
      <c r="H74" s="19">
        <v>0.29199999999999998</v>
      </c>
      <c r="I74" s="19">
        <v>0.24</v>
      </c>
      <c r="J74" s="19">
        <v>0.218</v>
      </c>
      <c r="K74" s="19">
        <v>0.17549999999999999</v>
      </c>
      <c r="L74" s="19">
        <v>0.122</v>
      </c>
      <c r="M74" s="19">
        <v>0.16200000000000001</v>
      </c>
      <c r="N74" s="16">
        <v>0.16750000000000001</v>
      </c>
      <c r="O74" s="16">
        <v>0.16350000000000001</v>
      </c>
      <c r="P74" s="23" t="s">
        <v>38</v>
      </c>
      <c r="Q74" s="16">
        <v>0.17899999999999999</v>
      </c>
      <c r="R74" s="23" t="s">
        <v>38</v>
      </c>
      <c r="S74" s="16">
        <v>0.22949999999999998</v>
      </c>
      <c r="T74" s="16">
        <v>0.307</v>
      </c>
      <c r="U74" s="16">
        <v>0.316</v>
      </c>
      <c r="V74" s="19" t="s">
        <v>38</v>
      </c>
      <c r="W74" s="16">
        <v>0.33600000000000002</v>
      </c>
      <c r="X74" s="23">
        <v>0.33800000000000002</v>
      </c>
      <c r="Y74" s="24" t="s">
        <v>38</v>
      </c>
      <c r="Z74" s="23">
        <v>0.33600000000000002</v>
      </c>
      <c r="AA74" s="23">
        <v>0.32600000000000001</v>
      </c>
      <c r="AB74" s="23" t="s">
        <v>38</v>
      </c>
      <c r="AC74" s="24">
        <v>0.32</v>
      </c>
      <c r="AD74" s="16">
        <v>0.317</v>
      </c>
      <c r="AE74" s="16" t="s">
        <v>38</v>
      </c>
      <c r="AF74" s="16">
        <v>0.22700000000000001</v>
      </c>
      <c r="AG74" s="16">
        <v>0.216</v>
      </c>
      <c r="AH74" s="16">
        <v>0.22500000000000001</v>
      </c>
      <c r="AI74" s="16" t="s">
        <v>38</v>
      </c>
      <c r="AJ74" s="16" t="s">
        <v>38</v>
      </c>
      <c r="AK74" s="16">
        <v>0.187</v>
      </c>
      <c r="AL74" s="16">
        <v>0.23100000000000001</v>
      </c>
      <c r="AM74" s="16">
        <v>0.317</v>
      </c>
      <c r="AN74" s="40">
        <v>0.254</v>
      </c>
      <c r="AO74" s="40" t="s">
        <v>38</v>
      </c>
      <c r="AP74" s="40" t="s">
        <v>38</v>
      </c>
      <c r="AQ74" s="40">
        <v>0.25</v>
      </c>
      <c r="AR74" s="40" t="s">
        <v>38</v>
      </c>
      <c r="AS74" s="40">
        <v>0.22600000000000001</v>
      </c>
      <c r="AT74" s="40" t="s">
        <v>38</v>
      </c>
      <c r="AU74" s="40">
        <v>0.219</v>
      </c>
      <c r="AV74" s="40" t="s">
        <v>38</v>
      </c>
      <c r="AW74" s="40" t="s">
        <v>38</v>
      </c>
      <c r="AX74" s="40" t="s">
        <v>38</v>
      </c>
      <c r="AY74" s="40">
        <v>0.17899999999999999</v>
      </c>
      <c r="AZ74" s="40">
        <v>0.193</v>
      </c>
      <c r="BA74" s="40">
        <v>0.21199999999999999</v>
      </c>
      <c r="BB74" s="49">
        <v>0.14300000000000002</v>
      </c>
      <c r="BC74" s="40">
        <v>0.18049999999999999</v>
      </c>
      <c r="BD74" s="50">
        <v>0.218</v>
      </c>
      <c r="BE74" s="50">
        <v>0.2215</v>
      </c>
      <c r="BF74" s="50">
        <v>0.18</v>
      </c>
      <c r="BG74" s="40">
        <v>0.25600000000000001</v>
      </c>
      <c r="BH74" s="38" t="s">
        <v>38</v>
      </c>
      <c r="BI74" s="38" t="s">
        <v>38</v>
      </c>
      <c r="BJ74" s="38" t="s">
        <v>38</v>
      </c>
      <c r="BK74" s="38">
        <v>0.26750000000000002</v>
      </c>
      <c r="BL74" s="38" t="s">
        <v>38</v>
      </c>
      <c r="BM74" s="38" t="s">
        <v>38</v>
      </c>
      <c r="BN74" s="38" t="s">
        <v>38</v>
      </c>
      <c r="BO74" s="38" t="s">
        <v>38</v>
      </c>
      <c r="BP74" s="38" t="s">
        <v>38</v>
      </c>
      <c r="BQ74" s="38">
        <v>0.214</v>
      </c>
      <c r="BR74" s="41">
        <v>0.20850000000000002</v>
      </c>
      <c r="BS74" s="41">
        <v>0.20400000000000001</v>
      </c>
      <c r="BT74" s="41">
        <v>0.20800000000000002</v>
      </c>
      <c r="BU74" s="42">
        <v>0.20650000000000002</v>
      </c>
      <c r="BV74" s="41" t="s">
        <v>38</v>
      </c>
      <c r="BW74" s="41" t="s">
        <v>38</v>
      </c>
      <c r="BX74" s="41" t="s">
        <v>38</v>
      </c>
      <c r="BY74" s="85">
        <f>(0.302+0.314)/2</f>
        <v>0.308</v>
      </c>
      <c r="BZ74" s="85">
        <f>(0.396+0.389)/2</f>
        <v>0.39250000000000002</v>
      </c>
      <c r="CA74" s="86">
        <v>0.29399999999999998</v>
      </c>
    </row>
    <row r="75" spans="1:79">
      <c r="A75" s="60" t="s">
        <v>24</v>
      </c>
      <c r="B75" s="82">
        <v>254463.46215599999</v>
      </c>
      <c r="C75" s="82">
        <v>4505623.0080000004</v>
      </c>
      <c r="D75" s="19">
        <v>0.32100000000000001</v>
      </c>
      <c r="E75" s="19">
        <v>0.29799999999999999</v>
      </c>
      <c r="F75" s="19">
        <v>0.32900000000000001</v>
      </c>
      <c r="G75" s="19">
        <v>0.32950000000000002</v>
      </c>
      <c r="H75" s="19">
        <v>0.3115</v>
      </c>
      <c r="I75" s="19">
        <v>0.27650000000000002</v>
      </c>
      <c r="J75" s="19">
        <v>0.2505</v>
      </c>
      <c r="K75" s="19">
        <v>0.20849999999999999</v>
      </c>
      <c r="L75" s="19">
        <v>0.1305</v>
      </c>
      <c r="M75" s="19">
        <v>0.1895</v>
      </c>
      <c r="N75" s="16">
        <v>0.2135</v>
      </c>
      <c r="O75" s="16">
        <v>0.19350000000000001</v>
      </c>
      <c r="P75" s="23" t="s">
        <v>38</v>
      </c>
      <c r="Q75" s="16">
        <v>0.2235</v>
      </c>
      <c r="R75" s="23" t="s">
        <v>38</v>
      </c>
      <c r="S75" s="23" t="s">
        <v>38</v>
      </c>
      <c r="T75" s="16">
        <v>0.36799999999999999</v>
      </c>
      <c r="U75" s="16">
        <v>0.379</v>
      </c>
      <c r="V75" s="19" t="s">
        <v>38</v>
      </c>
      <c r="W75" s="16">
        <v>0.443</v>
      </c>
      <c r="X75" s="23">
        <v>0.38200000000000001</v>
      </c>
      <c r="Y75" s="24" t="s">
        <v>38</v>
      </c>
      <c r="Z75" s="23">
        <v>0.374</v>
      </c>
      <c r="AA75" s="23">
        <v>0.35499999999999998</v>
      </c>
      <c r="AB75" s="23" t="s">
        <v>38</v>
      </c>
      <c r="AC75" s="24">
        <v>0.373</v>
      </c>
      <c r="AD75" s="16">
        <v>0.36</v>
      </c>
      <c r="AE75" s="16" t="s">
        <v>38</v>
      </c>
      <c r="AF75" s="16">
        <v>0.27200000000000002</v>
      </c>
      <c r="AG75" s="16">
        <v>0.25600000000000001</v>
      </c>
      <c r="AH75" s="16">
        <v>0.22600000000000001</v>
      </c>
      <c r="AI75" s="16" t="s">
        <v>38</v>
      </c>
      <c r="AJ75" s="16" t="s">
        <v>38</v>
      </c>
      <c r="AK75" s="16">
        <v>0.216</v>
      </c>
      <c r="AL75" s="16">
        <v>0.23599999999999999</v>
      </c>
      <c r="AM75" s="16">
        <v>0.42</v>
      </c>
      <c r="AN75" s="40">
        <v>0.27700000000000002</v>
      </c>
      <c r="AO75" s="40" t="s">
        <v>38</v>
      </c>
      <c r="AP75" s="40" t="s">
        <v>38</v>
      </c>
      <c r="AQ75" s="40">
        <v>0.28699999999999998</v>
      </c>
      <c r="AR75" s="40" t="s">
        <v>38</v>
      </c>
      <c r="AS75" s="40">
        <v>0.26100000000000001</v>
      </c>
      <c r="AT75" s="40" t="s">
        <v>38</v>
      </c>
      <c r="AU75" s="40">
        <v>0.26100000000000001</v>
      </c>
      <c r="AV75" s="40" t="s">
        <v>38</v>
      </c>
      <c r="AW75" s="40" t="s">
        <v>38</v>
      </c>
      <c r="AX75" s="40" t="s">
        <v>38</v>
      </c>
      <c r="AY75" s="40">
        <v>0.23799999999999999</v>
      </c>
      <c r="AZ75" s="40">
        <v>0.25800000000000001</v>
      </c>
      <c r="BA75" s="40">
        <v>0.187</v>
      </c>
      <c r="BB75" s="49">
        <v>0.17149999999999999</v>
      </c>
      <c r="BC75" s="40">
        <v>0.223</v>
      </c>
      <c r="BD75" s="50">
        <v>0.254</v>
      </c>
      <c r="BE75" s="50">
        <v>0.25</v>
      </c>
      <c r="BF75" s="50">
        <v>0.1875</v>
      </c>
      <c r="BG75" s="40">
        <v>0.29249999999999998</v>
      </c>
      <c r="BH75" s="38" t="s">
        <v>38</v>
      </c>
      <c r="BI75" s="38" t="s">
        <v>38</v>
      </c>
      <c r="BJ75" s="38" t="s">
        <v>38</v>
      </c>
      <c r="BK75" s="38">
        <v>0.307</v>
      </c>
      <c r="BL75" s="38" t="s">
        <v>38</v>
      </c>
      <c r="BM75" s="38" t="s">
        <v>38</v>
      </c>
      <c r="BN75" s="38" t="s">
        <v>38</v>
      </c>
      <c r="BO75" s="38" t="s">
        <v>38</v>
      </c>
      <c r="BP75" s="38" t="s">
        <v>38</v>
      </c>
      <c r="BQ75" s="38">
        <v>0.23199999999999998</v>
      </c>
      <c r="BR75" s="41">
        <v>0.23749999999999999</v>
      </c>
      <c r="BS75" s="41">
        <v>0.23</v>
      </c>
      <c r="BT75" s="41">
        <v>0.22700000000000001</v>
      </c>
      <c r="BU75" s="42">
        <v>0.2175</v>
      </c>
      <c r="BV75" s="41" t="s">
        <v>38</v>
      </c>
      <c r="BW75" s="41" t="s">
        <v>38</v>
      </c>
      <c r="BX75" s="41" t="s">
        <v>38</v>
      </c>
      <c r="BY75" s="85">
        <f>(0.332+0.349)/2</f>
        <v>0.34050000000000002</v>
      </c>
      <c r="BZ75" s="85">
        <f>(0.456+0.418)/2</f>
        <v>0.437</v>
      </c>
      <c r="CA75" s="86">
        <v>0.318</v>
      </c>
    </row>
    <row r="76" spans="1:79">
      <c r="A76" s="60" t="s">
        <v>25</v>
      </c>
      <c r="B76" s="82">
        <v>254463.55436400001</v>
      </c>
      <c r="C76" s="82">
        <v>4505624.7253999999</v>
      </c>
      <c r="D76" s="19">
        <v>0.29499999999999998</v>
      </c>
      <c r="E76" s="19">
        <v>0.27150000000000002</v>
      </c>
      <c r="F76" s="19">
        <v>0.28799999999999998</v>
      </c>
      <c r="G76" s="19">
        <v>0.28749999999999998</v>
      </c>
      <c r="H76" s="19">
        <v>0.28499999999999998</v>
      </c>
      <c r="I76" s="19">
        <v>0.23949999999999999</v>
      </c>
      <c r="J76" s="19">
        <v>0.20849999999999999</v>
      </c>
      <c r="K76" s="19">
        <v>0.16550000000000001</v>
      </c>
      <c r="L76" s="19">
        <v>8.9999999999999993E-3</v>
      </c>
      <c r="M76" s="19">
        <v>0.157</v>
      </c>
      <c r="N76" s="16">
        <v>0.21299999999999999</v>
      </c>
      <c r="O76" s="16">
        <v>0.1565</v>
      </c>
      <c r="P76" s="23" t="s">
        <v>38</v>
      </c>
      <c r="Q76" s="16">
        <v>0.2225</v>
      </c>
      <c r="R76" s="23" t="s">
        <v>38</v>
      </c>
      <c r="S76" s="23" t="s">
        <v>38</v>
      </c>
      <c r="T76" s="16" t="s">
        <v>38</v>
      </c>
      <c r="U76" s="16" t="s">
        <v>38</v>
      </c>
      <c r="V76" s="16" t="s">
        <v>38</v>
      </c>
      <c r="W76" s="16" t="s">
        <v>38</v>
      </c>
      <c r="X76" s="16" t="s">
        <v>38</v>
      </c>
      <c r="Y76" s="16" t="s">
        <v>38</v>
      </c>
      <c r="Z76" s="16" t="s">
        <v>38</v>
      </c>
      <c r="AA76" s="16" t="s">
        <v>38</v>
      </c>
      <c r="AB76" s="16" t="s">
        <v>38</v>
      </c>
      <c r="AC76" s="16" t="s">
        <v>38</v>
      </c>
      <c r="AD76" s="16" t="s">
        <v>38</v>
      </c>
      <c r="AE76" s="16" t="s">
        <v>38</v>
      </c>
      <c r="AF76" s="16" t="s">
        <v>38</v>
      </c>
      <c r="AG76" s="16" t="s">
        <v>38</v>
      </c>
      <c r="AH76" s="16" t="s">
        <v>38</v>
      </c>
      <c r="AI76" s="16" t="s">
        <v>38</v>
      </c>
      <c r="AJ76" s="16" t="s">
        <v>38</v>
      </c>
      <c r="AK76" s="16">
        <v>0.193</v>
      </c>
      <c r="AL76" s="16">
        <v>0.19500000000000001</v>
      </c>
      <c r="AM76" s="16">
        <v>0.35399999999999998</v>
      </c>
      <c r="AN76" s="40">
        <v>0.251</v>
      </c>
      <c r="AO76" s="40" t="s">
        <v>38</v>
      </c>
      <c r="AP76" s="40" t="s">
        <v>38</v>
      </c>
      <c r="AQ76" s="40">
        <v>0.23400000000000001</v>
      </c>
      <c r="AR76" s="40" t="s">
        <v>38</v>
      </c>
      <c r="AS76" s="40">
        <v>0.21199999999999999</v>
      </c>
      <c r="AT76" s="40" t="s">
        <v>38</v>
      </c>
      <c r="AU76" s="40">
        <v>0.21</v>
      </c>
      <c r="AV76" s="40" t="s">
        <v>38</v>
      </c>
      <c r="AW76" s="40" t="s">
        <v>38</v>
      </c>
      <c r="AX76" s="40" t="s">
        <v>38</v>
      </c>
      <c r="AY76" s="40">
        <v>0.14199999999999999</v>
      </c>
      <c r="AZ76" s="40">
        <v>9.5000000000000001E-2</v>
      </c>
      <c r="BA76" s="40">
        <v>0.26400000000000001</v>
      </c>
      <c r="BB76" s="49">
        <v>0.152</v>
      </c>
      <c r="BC76" s="40">
        <v>0.214</v>
      </c>
      <c r="BD76" s="50">
        <v>0.20749999999999999</v>
      </c>
      <c r="BE76" s="50">
        <v>0.224</v>
      </c>
      <c r="BF76" s="50">
        <v>0.16700000000000001</v>
      </c>
      <c r="BG76" s="40">
        <v>0.27250000000000002</v>
      </c>
      <c r="BH76" s="38" t="s">
        <v>38</v>
      </c>
      <c r="BI76" s="38" t="s">
        <v>38</v>
      </c>
      <c r="BJ76" s="38" t="s">
        <v>38</v>
      </c>
      <c r="BK76" s="38">
        <v>0.26100000000000001</v>
      </c>
      <c r="BL76" s="38" t="s">
        <v>38</v>
      </c>
      <c r="BM76" s="38" t="s">
        <v>38</v>
      </c>
      <c r="BN76" s="38" t="s">
        <v>38</v>
      </c>
      <c r="BO76" s="38" t="s">
        <v>38</v>
      </c>
      <c r="BP76" s="38" t="s">
        <v>38</v>
      </c>
      <c r="BQ76" s="38">
        <v>0.2</v>
      </c>
      <c r="BR76" s="41">
        <v>0.19900000000000001</v>
      </c>
      <c r="BS76" s="41">
        <v>0.19650000000000001</v>
      </c>
      <c r="BT76" s="41">
        <v>0.19800000000000001</v>
      </c>
      <c r="BU76" s="42">
        <v>0.1835</v>
      </c>
      <c r="BV76" s="41" t="s">
        <v>38</v>
      </c>
      <c r="BW76" s="41" t="s">
        <v>38</v>
      </c>
      <c r="BX76" s="41" t="s">
        <v>38</v>
      </c>
      <c r="BY76" s="85">
        <f>(0.3+0.301)/2</f>
        <v>0.30049999999999999</v>
      </c>
      <c r="BZ76" s="85">
        <f>(0.382+0.395)/2</f>
        <v>0.38850000000000001</v>
      </c>
      <c r="CA76" s="86">
        <v>0.30199999999999999</v>
      </c>
    </row>
    <row r="77" spans="1:79">
      <c r="A77" s="60">
        <v>56</v>
      </c>
      <c r="B77" s="82">
        <v>254461.96097399999</v>
      </c>
      <c r="C77" s="82">
        <v>4505643.9971200004</v>
      </c>
      <c r="D77" s="19" t="s">
        <v>38</v>
      </c>
      <c r="E77" s="19" t="s">
        <v>38</v>
      </c>
      <c r="F77" s="19" t="s">
        <v>38</v>
      </c>
      <c r="G77" s="19" t="s">
        <v>38</v>
      </c>
      <c r="H77" s="19" t="s">
        <v>38</v>
      </c>
      <c r="I77" s="19" t="s">
        <v>38</v>
      </c>
      <c r="J77" s="19" t="s">
        <v>38</v>
      </c>
      <c r="K77" s="19" t="s">
        <v>38</v>
      </c>
      <c r="L77" s="19" t="s">
        <v>38</v>
      </c>
      <c r="M77" s="19" t="s">
        <v>38</v>
      </c>
      <c r="N77" s="23" t="s">
        <v>38</v>
      </c>
      <c r="O77" s="23" t="s">
        <v>38</v>
      </c>
      <c r="P77" s="23" t="s">
        <v>38</v>
      </c>
      <c r="Q77" s="23" t="s">
        <v>38</v>
      </c>
      <c r="R77" s="23" t="s">
        <v>38</v>
      </c>
      <c r="S77" s="23" t="s">
        <v>38</v>
      </c>
      <c r="T77" s="19" t="s">
        <v>38</v>
      </c>
      <c r="U77" s="19" t="s">
        <v>38</v>
      </c>
      <c r="V77" s="19" t="s">
        <v>38</v>
      </c>
      <c r="W77" s="19" t="s">
        <v>38</v>
      </c>
      <c r="X77" s="19" t="s">
        <v>38</v>
      </c>
      <c r="Y77" s="19" t="s">
        <v>38</v>
      </c>
      <c r="Z77" s="19" t="s">
        <v>38</v>
      </c>
      <c r="AA77" s="19" t="s">
        <v>38</v>
      </c>
      <c r="AB77" s="19" t="s">
        <v>38</v>
      </c>
      <c r="AC77" s="19" t="s">
        <v>38</v>
      </c>
      <c r="AD77" s="19" t="s">
        <v>38</v>
      </c>
      <c r="AE77" s="19" t="s">
        <v>38</v>
      </c>
      <c r="AF77" s="19" t="s">
        <v>38</v>
      </c>
      <c r="AG77" s="19" t="s">
        <v>38</v>
      </c>
      <c r="AH77" s="19" t="s">
        <v>38</v>
      </c>
      <c r="AI77" s="19" t="s">
        <v>38</v>
      </c>
      <c r="AJ77" s="19" t="s">
        <v>38</v>
      </c>
      <c r="AK77" s="19" t="s">
        <v>38</v>
      </c>
      <c r="AL77" s="19" t="s">
        <v>38</v>
      </c>
      <c r="AM77" s="19" t="s">
        <v>38</v>
      </c>
      <c r="AN77" s="19" t="s">
        <v>38</v>
      </c>
      <c r="AO77" s="19" t="s">
        <v>38</v>
      </c>
      <c r="AP77" s="19" t="s">
        <v>38</v>
      </c>
      <c r="AQ77" s="19" t="s">
        <v>38</v>
      </c>
      <c r="AR77" s="19" t="s">
        <v>38</v>
      </c>
      <c r="AS77" s="19" t="s">
        <v>38</v>
      </c>
      <c r="AT77" s="19" t="s">
        <v>38</v>
      </c>
      <c r="AU77" s="19" t="s">
        <v>38</v>
      </c>
      <c r="AV77" s="19" t="s">
        <v>38</v>
      </c>
      <c r="AW77" s="19" t="s">
        <v>38</v>
      </c>
      <c r="AX77" s="19" t="s">
        <v>38</v>
      </c>
      <c r="AY77" s="19" t="s">
        <v>38</v>
      </c>
      <c r="AZ77" s="19" t="s">
        <v>38</v>
      </c>
      <c r="BA77" s="19" t="s">
        <v>38</v>
      </c>
      <c r="BB77" s="19" t="s">
        <v>38</v>
      </c>
      <c r="BC77" s="19" t="s">
        <v>38</v>
      </c>
      <c r="BD77" s="19" t="s">
        <v>38</v>
      </c>
      <c r="BE77" s="19" t="s">
        <v>38</v>
      </c>
      <c r="BF77" s="19" t="s">
        <v>38</v>
      </c>
      <c r="BG77" s="19" t="s">
        <v>38</v>
      </c>
      <c r="BH77" s="19" t="s">
        <v>38</v>
      </c>
      <c r="BI77" s="19" t="s">
        <v>38</v>
      </c>
      <c r="BJ77" s="19" t="s">
        <v>38</v>
      </c>
      <c r="BK77" s="19" t="s">
        <v>38</v>
      </c>
      <c r="BL77" s="19" t="s">
        <v>38</v>
      </c>
      <c r="BM77" s="19" t="s">
        <v>38</v>
      </c>
      <c r="BN77" s="19" t="s">
        <v>38</v>
      </c>
      <c r="BO77" s="19" t="s">
        <v>38</v>
      </c>
      <c r="BP77" s="19" t="s">
        <v>38</v>
      </c>
      <c r="BQ77" s="19" t="s">
        <v>38</v>
      </c>
      <c r="BR77" s="19" t="s">
        <v>38</v>
      </c>
      <c r="BS77" s="19" t="s">
        <v>38</v>
      </c>
      <c r="BT77" s="19" t="s">
        <v>38</v>
      </c>
      <c r="BU77" s="19" t="s">
        <v>38</v>
      </c>
      <c r="BV77" s="19" t="s">
        <v>38</v>
      </c>
      <c r="BW77" s="19" t="s">
        <v>38</v>
      </c>
      <c r="BX77" s="19" t="s">
        <v>38</v>
      </c>
      <c r="BY77" s="69" t="s">
        <v>38</v>
      </c>
      <c r="BZ77" s="69" t="s">
        <v>38</v>
      </c>
      <c r="CA77" s="86" t="s">
        <v>38</v>
      </c>
    </row>
    <row r="78" spans="1:79">
      <c r="A78" s="60">
        <v>57</v>
      </c>
      <c r="B78" s="83">
        <v>254450.62839500001</v>
      </c>
      <c r="C78" s="83">
        <v>4505644.3176199999</v>
      </c>
      <c r="D78" s="19" t="s">
        <v>38</v>
      </c>
      <c r="E78" s="19" t="s">
        <v>38</v>
      </c>
      <c r="F78" s="19" t="s">
        <v>38</v>
      </c>
      <c r="G78" s="19" t="s">
        <v>38</v>
      </c>
      <c r="H78" s="19" t="s">
        <v>38</v>
      </c>
      <c r="I78" s="19" t="s">
        <v>38</v>
      </c>
      <c r="J78" s="19" t="s">
        <v>38</v>
      </c>
      <c r="K78" s="19" t="s">
        <v>38</v>
      </c>
      <c r="L78" s="19" t="s">
        <v>38</v>
      </c>
      <c r="M78" s="19" t="s">
        <v>38</v>
      </c>
      <c r="N78" s="23" t="s">
        <v>38</v>
      </c>
      <c r="O78" s="23" t="s">
        <v>38</v>
      </c>
      <c r="P78" s="23" t="s">
        <v>38</v>
      </c>
      <c r="Q78" s="23" t="s">
        <v>38</v>
      </c>
      <c r="R78" s="23" t="s">
        <v>38</v>
      </c>
      <c r="S78" s="23" t="s">
        <v>38</v>
      </c>
      <c r="T78" s="19" t="s">
        <v>38</v>
      </c>
      <c r="U78" s="19" t="s">
        <v>38</v>
      </c>
      <c r="V78" s="19" t="s">
        <v>38</v>
      </c>
      <c r="W78" s="19" t="s">
        <v>38</v>
      </c>
      <c r="X78" s="19" t="s">
        <v>38</v>
      </c>
      <c r="Y78" s="19" t="s">
        <v>38</v>
      </c>
      <c r="Z78" s="19" t="s">
        <v>38</v>
      </c>
      <c r="AA78" s="19" t="s">
        <v>38</v>
      </c>
      <c r="AB78" s="19" t="s">
        <v>38</v>
      </c>
      <c r="AC78" s="19" t="s">
        <v>38</v>
      </c>
      <c r="AD78" s="19" t="s">
        <v>38</v>
      </c>
      <c r="AE78" s="19" t="s">
        <v>38</v>
      </c>
      <c r="AF78" s="19" t="s">
        <v>38</v>
      </c>
      <c r="AG78" s="19" t="s">
        <v>38</v>
      </c>
      <c r="AH78" s="19" t="s">
        <v>38</v>
      </c>
      <c r="AI78" s="19" t="s">
        <v>38</v>
      </c>
      <c r="AJ78" s="19" t="s">
        <v>38</v>
      </c>
      <c r="AK78" s="19" t="s">
        <v>38</v>
      </c>
      <c r="AL78" s="19" t="s">
        <v>38</v>
      </c>
      <c r="AM78" s="19" t="s">
        <v>38</v>
      </c>
      <c r="AN78" s="19" t="s">
        <v>38</v>
      </c>
      <c r="AO78" s="19" t="s">
        <v>38</v>
      </c>
      <c r="AP78" s="19" t="s">
        <v>38</v>
      </c>
      <c r="AQ78" s="19" t="s">
        <v>38</v>
      </c>
      <c r="AR78" s="19" t="s">
        <v>38</v>
      </c>
      <c r="AS78" s="19" t="s">
        <v>38</v>
      </c>
      <c r="AT78" s="19" t="s">
        <v>38</v>
      </c>
      <c r="AU78" s="19" t="s">
        <v>38</v>
      </c>
      <c r="AV78" s="19" t="s">
        <v>38</v>
      </c>
      <c r="AW78" s="19" t="s">
        <v>38</v>
      </c>
      <c r="AX78" s="19" t="s">
        <v>38</v>
      </c>
      <c r="AY78" s="19" t="s">
        <v>38</v>
      </c>
      <c r="AZ78" s="19" t="s">
        <v>38</v>
      </c>
      <c r="BA78" s="19" t="s">
        <v>38</v>
      </c>
      <c r="BB78" s="19" t="s">
        <v>38</v>
      </c>
      <c r="BC78" s="19" t="s">
        <v>38</v>
      </c>
      <c r="BD78" s="19" t="s">
        <v>38</v>
      </c>
      <c r="BE78" s="19" t="s">
        <v>38</v>
      </c>
      <c r="BF78" s="19" t="s">
        <v>38</v>
      </c>
      <c r="BG78" s="19" t="s">
        <v>38</v>
      </c>
      <c r="BH78" s="19" t="s">
        <v>38</v>
      </c>
      <c r="BI78" s="19" t="s">
        <v>38</v>
      </c>
      <c r="BJ78" s="19" t="s">
        <v>38</v>
      </c>
      <c r="BK78" s="19" t="s">
        <v>38</v>
      </c>
      <c r="BL78" s="19" t="s">
        <v>38</v>
      </c>
      <c r="BM78" s="19" t="s">
        <v>38</v>
      </c>
      <c r="BN78" s="19" t="s">
        <v>38</v>
      </c>
      <c r="BO78" s="19" t="s">
        <v>38</v>
      </c>
      <c r="BP78" s="19" t="s">
        <v>38</v>
      </c>
      <c r="BQ78" s="19" t="s">
        <v>38</v>
      </c>
      <c r="BR78" s="19" t="s">
        <v>38</v>
      </c>
      <c r="BS78" s="19" t="s">
        <v>38</v>
      </c>
      <c r="BT78" s="19" t="s">
        <v>38</v>
      </c>
      <c r="BU78" s="19" t="s">
        <v>38</v>
      </c>
      <c r="BV78" s="19" t="s">
        <v>38</v>
      </c>
      <c r="BW78" s="19" t="s">
        <v>38</v>
      </c>
      <c r="BX78" s="19" t="s">
        <v>38</v>
      </c>
      <c r="BY78" s="69" t="s">
        <v>38</v>
      </c>
      <c r="BZ78" s="69" t="s">
        <v>38</v>
      </c>
      <c r="CA78" s="86" t="s">
        <v>38</v>
      </c>
    </row>
    <row r="79" spans="1:79">
      <c r="A79" s="60">
        <v>58</v>
      </c>
      <c r="B79" s="83">
        <v>254478.967924</v>
      </c>
      <c r="C79" s="83">
        <v>4505639.2194499997</v>
      </c>
      <c r="D79" s="19" t="s">
        <v>38</v>
      </c>
      <c r="E79" s="19" t="s">
        <v>38</v>
      </c>
      <c r="F79" s="19" t="s">
        <v>38</v>
      </c>
      <c r="G79" s="19" t="s">
        <v>38</v>
      </c>
      <c r="H79" s="19" t="s">
        <v>38</v>
      </c>
      <c r="I79" s="19" t="s">
        <v>38</v>
      </c>
      <c r="J79" s="19" t="s">
        <v>38</v>
      </c>
      <c r="K79" s="19" t="s">
        <v>38</v>
      </c>
      <c r="L79" s="19" t="s">
        <v>38</v>
      </c>
      <c r="M79" s="19" t="s">
        <v>38</v>
      </c>
      <c r="N79" s="23" t="s">
        <v>38</v>
      </c>
      <c r="O79" s="23" t="s">
        <v>38</v>
      </c>
      <c r="P79" s="23" t="s">
        <v>38</v>
      </c>
      <c r="Q79" s="23" t="s">
        <v>38</v>
      </c>
      <c r="R79" s="23" t="s">
        <v>38</v>
      </c>
      <c r="S79" s="23" t="s">
        <v>38</v>
      </c>
      <c r="T79" s="19" t="s">
        <v>38</v>
      </c>
      <c r="U79" s="19" t="s">
        <v>38</v>
      </c>
      <c r="V79" s="19" t="s">
        <v>38</v>
      </c>
      <c r="W79" s="19" t="s">
        <v>38</v>
      </c>
      <c r="X79" s="19" t="s">
        <v>38</v>
      </c>
      <c r="Y79" s="19" t="s">
        <v>38</v>
      </c>
      <c r="Z79" s="19" t="s">
        <v>38</v>
      </c>
      <c r="AA79" s="19" t="s">
        <v>38</v>
      </c>
      <c r="AB79" s="19" t="s">
        <v>38</v>
      </c>
      <c r="AC79" s="19" t="s">
        <v>38</v>
      </c>
      <c r="AD79" s="19" t="s">
        <v>38</v>
      </c>
      <c r="AE79" s="19" t="s">
        <v>38</v>
      </c>
      <c r="AF79" s="19" t="s">
        <v>38</v>
      </c>
      <c r="AG79" s="19" t="s">
        <v>38</v>
      </c>
      <c r="AH79" s="19" t="s">
        <v>38</v>
      </c>
      <c r="AI79" s="19" t="s">
        <v>38</v>
      </c>
      <c r="AJ79" s="19" t="s">
        <v>38</v>
      </c>
      <c r="AK79" s="19" t="s">
        <v>38</v>
      </c>
      <c r="AL79" s="19" t="s">
        <v>38</v>
      </c>
      <c r="AM79" s="19" t="s">
        <v>38</v>
      </c>
      <c r="AN79" s="19" t="s">
        <v>38</v>
      </c>
      <c r="AO79" s="19" t="s">
        <v>38</v>
      </c>
      <c r="AP79" s="19" t="s">
        <v>38</v>
      </c>
      <c r="AQ79" s="19" t="s">
        <v>38</v>
      </c>
      <c r="AR79" s="19" t="s">
        <v>38</v>
      </c>
      <c r="AS79" s="19" t="s">
        <v>38</v>
      </c>
      <c r="AT79" s="19" t="s">
        <v>38</v>
      </c>
      <c r="AU79" s="19" t="s">
        <v>38</v>
      </c>
      <c r="AV79" s="19" t="s">
        <v>38</v>
      </c>
      <c r="AW79" s="19" t="s">
        <v>38</v>
      </c>
      <c r="AX79" s="19" t="s">
        <v>38</v>
      </c>
      <c r="AY79" s="19" t="s">
        <v>38</v>
      </c>
      <c r="AZ79" s="19" t="s">
        <v>38</v>
      </c>
      <c r="BA79" s="19" t="s">
        <v>38</v>
      </c>
      <c r="BB79" s="19" t="s">
        <v>38</v>
      </c>
      <c r="BC79" s="19" t="s">
        <v>38</v>
      </c>
      <c r="BD79" s="19" t="s">
        <v>38</v>
      </c>
      <c r="BE79" s="19" t="s">
        <v>38</v>
      </c>
      <c r="BF79" s="19" t="s">
        <v>38</v>
      </c>
      <c r="BG79" s="19" t="s">
        <v>38</v>
      </c>
      <c r="BH79" s="19" t="s">
        <v>38</v>
      </c>
      <c r="BI79" s="19" t="s">
        <v>38</v>
      </c>
      <c r="BJ79" s="19" t="s">
        <v>38</v>
      </c>
      <c r="BK79" s="19" t="s">
        <v>38</v>
      </c>
      <c r="BL79" s="19" t="s">
        <v>38</v>
      </c>
      <c r="BM79" s="19" t="s">
        <v>38</v>
      </c>
      <c r="BN79" s="19" t="s">
        <v>38</v>
      </c>
      <c r="BO79" s="19" t="s">
        <v>38</v>
      </c>
      <c r="BP79" s="19" t="s">
        <v>38</v>
      </c>
      <c r="BQ79" s="19" t="s">
        <v>38</v>
      </c>
      <c r="BR79" s="19" t="s">
        <v>38</v>
      </c>
      <c r="BS79" s="19" t="s">
        <v>38</v>
      </c>
      <c r="BT79" s="19" t="s">
        <v>38</v>
      </c>
      <c r="BU79" s="19" t="s">
        <v>38</v>
      </c>
      <c r="BV79" s="19" t="s">
        <v>38</v>
      </c>
      <c r="BW79" s="19" t="s">
        <v>38</v>
      </c>
      <c r="BX79" s="19" t="s">
        <v>38</v>
      </c>
      <c r="BY79" s="69" t="s">
        <v>38</v>
      </c>
      <c r="BZ79" s="69" t="s">
        <v>38</v>
      </c>
      <c r="CA79" s="86" t="s">
        <v>38</v>
      </c>
    </row>
    <row r="80" spans="1:79">
      <c r="A80" s="60">
        <v>59</v>
      </c>
      <c r="B80" s="83">
        <v>254508.20847300001</v>
      </c>
      <c r="C80" s="83">
        <v>4505675.6492100004</v>
      </c>
      <c r="D80" s="19" t="s">
        <v>38</v>
      </c>
      <c r="E80" s="19" t="s">
        <v>38</v>
      </c>
      <c r="F80" s="19" t="s">
        <v>38</v>
      </c>
      <c r="G80" s="19" t="s">
        <v>38</v>
      </c>
      <c r="H80" s="19" t="s">
        <v>38</v>
      </c>
      <c r="I80" s="19" t="s">
        <v>38</v>
      </c>
      <c r="J80" s="19" t="s">
        <v>38</v>
      </c>
      <c r="K80" s="19" t="s">
        <v>38</v>
      </c>
      <c r="L80" s="19" t="s">
        <v>38</v>
      </c>
      <c r="M80" s="19" t="s">
        <v>38</v>
      </c>
      <c r="N80" s="16" t="s">
        <v>38</v>
      </c>
      <c r="O80" s="16" t="s">
        <v>38</v>
      </c>
      <c r="P80" s="16" t="s">
        <v>38</v>
      </c>
      <c r="Q80" s="16" t="s">
        <v>38</v>
      </c>
      <c r="R80" s="16" t="s">
        <v>38</v>
      </c>
      <c r="S80" s="16" t="s">
        <v>38</v>
      </c>
      <c r="T80" s="23">
        <v>0.29299999999999998</v>
      </c>
      <c r="U80" s="23">
        <v>0.29299999999999998</v>
      </c>
      <c r="V80" s="23" t="s">
        <v>38</v>
      </c>
      <c r="W80" s="23">
        <v>0.33400000000000002</v>
      </c>
      <c r="X80" s="23">
        <v>0.318</v>
      </c>
      <c r="Y80" s="24" t="s">
        <v>38</v>
      </c>
      <c r="Z80" s="23">
        <v>0.32400000000000001</v>
      </c>
      <c r="AA80" s="23">
        <v>0.314</v>
      </c>
      <c r="AB80" s="23" t="s">
        <v>38</v>
      </c>
      <c r="AC80" s="24">
        <v>0.31</v>
      </c>
      <c r="AD80" s="16">
        <v>0.30599999999999999</v>
      </c>
      <c r="AE80" s="16" t="s">
        <v>38</v>
      </c>
      <c r="AF80" s="16">
        <v>0.20499999999999999</v>
      </c>
      <c r="AG80" s="16">
        <v>0.215</v>
      </c>
      <c r="AH80" s="16">
        <v>0.2</v>
      </c>
      <c r="AI80" s="16" t="s">
        <v>38</v>
      </c>
      <c r="AJ80" s="16" t="s">
        <v>38</v>
      </c>
      <c r="AK80" s="16" t="s">
        <v>38</v>
      </c>
      <c r="AL80" s="16" t="s">
        <v>38</v>
      </c>
      <c r="AM80" s="16" t="s">
        <v>38</v>
      </c>
      <c r="AN80" s="16" t="s">
        <v>38</v>
      </c>
      <c r="AO80" s="16" t="s">
        <v>38</v>
      </c>
      <c r="AP80" s="16" t="s">
        <v>38</v>
      </c>
      <c r="AQ80" s="16" t="s">
        <v>38</v>
      </c>
      <c r="AR80" s="16" t="s">
        <v>38</v>
      </c>
      <c r="AS80" s="16" t="s">
        <v>38</v>
      </c>
      <c r="AT80" s="16" t="s">
        <v>38</v>
      </c>
      <c r="AU80" s="16" t="s">
        <v>38</v>
      </c>
      <c r="AV80" s="16" t="s">
        <v>38</v>
      </c>
      <c r="AW80" s="16" t="s">
        <v>38</v>
      </c>
      <c r="AX80" s="16" t="s">
        <v>38</v>
      </c>
      <c r="AY80" s="16" t="s">
        <v>38</v>
      </c>
      <c r="AZ80" s="16" t="s">
        <v>38</v>
      </c>
      <c r="BA80" s="16" t="s">
        <v>38</v>
      </c>
      <c r="BB80" s="16" t="s">
        <v>38</v>
      </c>
      <c r="BC80" s="16" t="s">
        <v>38</v>
      </c>
      <c r="BD80" s="16" t="s">
        <v>38</v>
      </c>
      <c r="BE80" s="16" t="s">
        <v>38</v>
      </c>
      <c r="BF80" s="16" t="s">
        <v>38</v>
      </c>
      <c r="BG80" s="16" t="s">
        <v>38</v>
      </c>
      <c r="BH80" s="16" t="s">
        <v>38</v>
      </c>
      <c r="BI80" s="16" t="s">
        <v>38</v>
      </c>
      <c r="BJ80" s="16" t="s">
        <v>38</v>
      </c>
      <c r="BK80" s="16" t="s">
        <v>38</v>
      </c>
      <c r="BL80" s="16" t="s">
        <v>38</v>
      </c>
      <c r="BM80" s="16" t="s">
        <v>38</v>
      </c>
      <c r="BN80" s="16" t="s">
        <v>38</v>
      </c>
      <c r="BO80" s="16" t="s">
        <v>38</v>
      </c>
      <c r="BP80" s="16" t="s">
        <v>38</v>
      </c>
      <c r="BQ80" s="16" t="s">
        <v>38</v>
      </c>
      <c r="BR80" s="16" t="s">
        <v>38</v>
      </c>
      <c r="BS80" s="16" t="s">
        <v>38</v>
      </c>
      <c r="BT80" s="16" t="s">
        <v>38</v>
      </c>
      <c r="BU80" s="16" t="s">
        <v>38</v>
      </c>
      <c r="BV80" s="16" t="s">
        <v>38</v>
      </c>
      <c r="BW80" s="16" t="s">
        <v>38</v>
      </c>
      <c r="BX80" s="16" t="s">
        <v>38</v>
      </c>
      <c r="BY80" s="69" t="s">
        <v>38</v>
      </c>
      <c r="BZ80" s="69" t="s">
        <v>38</v>
      </c>
      <c r="CA80" s="86" t="s">
        <v>38</v>
      </c>
    </row>
    <row r="81" spans="1:79">
      <c r="A81" s="60">
        <v>60</v>
      </c>
      <c r="B81" s="82">
        <v>254489.42741900001</v>
      </c>
      <c r="C81" s="82">
        <v>4505627.2146600001</v>
      </c>
      <c r="D81" s="19" t="s">
        <v>38</v>
      </c>
      <c r="E81" s="19" t="s">
        <v>38</v>
      </c>
      <c r="F81" s="19" t="s">
        <v>38</v>
      </c>
      <c r="G81" s="19" t="s">
        <v>38</v>
      </c>
      <c r="H81" s="19" t="s">
        <v>38</v>
      </c>
      <c r="I81" s="19" t="s">
        <v>38</v>
      </c>
      <c r="J81" s="19" t="s">
        <v>38</v>
      </c>
      <c r="K81" s="19" t="s">
        <v>38</v>
      </c>
      <c r="L81" s="19" t="s">
        <v>38</v>
      </c>
      <c r="M81" s="19" t="s">
        <v>38</v>
      </c>
      <c r="N81" s="23" t="s">
        <v>38</v>
      </c>
      <c r="O81" s="23" t="s">
        <v>38</v>
      </c>
      <c r="P81" s="23" t="s">
        <v>38</v>
      </c>
      <c r="Q81" s="23" t="s">
        <v>38</v>
      </c>
      <c r="R81" s="23" t="s">
        <v>38</v>
      </c>
      <c r="S81" s="23" t="s">
        <v>38</v>
      </c>
      <c r="T81" s="19" t="s">
        <v>38</v>
      </c>
      <c r="U81" s="19" t="s">
        <v>38</v>
      </c>
      <c r="V81" s="19" t="s">
        <v>38</v>
      </c>
      <c r="W81" s="19" t="s">
        <v>38</v>
      </c>
      <c r="X81" s="19" t="s">
        <v>38</v>
      </c>
      <c r="Y81" s="19" t="s">
        <v>38</v>
      </c>
      <c r="Z81" s="19" t="s">
        <v>38</v>
      </c>
      <c r="AA81" s="19" t="s">
        <v>38</v>
      </c>
      <c r="AB81" s="19" t="s">
        <v>38</v>
      </c>
      <c r="AC81" s="19" t="s">
        <v>38</v>
      </c>
      <c r="AD81" s="19" t="s">
        <v>38</v>
      </c>
      <c r="AE81" s="19" t="s">
        <v>38</v>
      </c>
      <c r="AF81" s="19" t="s">
        <v>38</v>
      </c>
      <c r="AG81" s="19" t="s">
        <v>38</v>
      </c>
      <c r="AH81" s="19" t="s">
        <v>38</v>
      </c>
      <c r="AI81" s="19" t="s">
        <v>38</v>
      </c>
      <c r="AJ81" s="19" t="s">
        <v>38</v>
      </c>
      <c r="AK81" s="19" t="s">
        <v>38</v>
      </c>
      <c r="AL81" s="19" t="s">
        <v>38</v>
      </c>
      <c r="AM81" s="19" t="s">
        <v>38</v>
      </c>
      <c r="AN81" s="19" t="s">
        <v>38</v>
      </c>
      <c r="AO81" s="19" t="s">
        <v>38</v>
      </c>
      <c r="AP81" s="19" t="s">
        <v>38</v>
      </c>
      <c r="AQ81" s="19" t="s">
        <v>38</v>
      </c>
      <c r="AR81" s="19" t="s">
        <v>38</v>
      </c>
      <c r="AS81" s="19" t="s">
        <v>38</v>
      </c>
      <c r="AT81" s="19" t="s">
        <v>38</v>
      </c>
      <c r="AU81" s="19" t="s">
        <v>38</v>
      </c>
      <c r="AV81" s="19" t="s">
        <v>38</v>
      </c>
      <c r="AW81" s="19" t="s">
        <v>38</v>
      </c>
      <c r="AX81" s="19" t="s">
        <v>38</v>
      </c>
      <c r="AY81" s="19" t="s">
        <v>38</v>
      </c>
      <c r="AZ81" s="19" t="s">
        <v>38</v>
      </c>
      <c r="BA81" s="19" t="s">
        <v>38</v>
      </c>
      <c r="BB81" s="19" t="s">
        <v>38</v>
      </c>
      <c r="BC81" s="19" t="s">
        <v>38</v>
      </c>
      <c r="BD81" s="19" t="s">
        <v>38</v>
      </c>
      <c r="BE81" s="19" t="s">
        <v>38</v>
      </c>
      <c r="BF81" s="19" t="s">
        <v>38</v>
      </c>
      <c r="BG81" s="19" t="s">
        <v>38</v>
      </c>
      <c r="BH81" s="19" t="s">
        <v>38</v>
      </c>
      <c r="BI81" s="19" t="s">
        <v>38</v>
      </c>
      <c r="BJ81" s="19" t="s">
        <v>38</v>
      </c>
      <c r="BK81" s="19" t="s">
        <v>38</v>
      </c>
      <c r="BL81" s="19" t="s">
        <v>38</v>
      </c>
      <c r="BM81" s="19" t="s">
        <v>38</v>
      </c>
      <c r="BN81" s="19" t="s">
        <v>38</v>
      </c>
      <c r="BO81" s="19" t="s">
        <v>38</v>
      </c>
      <c r="BP81" s="19" t="s">
        <v>38</v>
      </c>
      <c r="BQ81" s="19" t="s">
        <v>38</v>
      </c>
      <c r="BR81" s="19" t="s">
        <v>38</v>
      </c>
      <c r="BS81" s="19" t="s">
        <v>38</v>
      </c>
      <c r="BT81" s="19" t="s">
        <v>38</v>
      </c>
      <c r="BU81" s="19" t="s">
        <v>38</v>
      </c>
      <c r="BV81" s="19" t="s">
        <v>38</v>
      </c>
      <c r="BW81" s="19" t="s">
        <v>38</v>
      </c>
      <c r="BX81" s="19" t="s">
        <v>38</v>
      </c>
      <c r="BY81" s="85" t="s">
        <v>38</v>
      </c>
      <c r="BZ81" s="85" t="s">
        <v>38</v>
      </c>
      <c r="CA81" s="86" t="s">
        <v>38</v>
      </c>
    </row>
    <row r="82" spans="1:79">
      <c r="A82" s="60" t="s">
        <v>26</v>
      </c>
      <c r="B82" s="82">
        <v>254490.50914000001</v>
      </c>
      <c r="C82" s="82">
        <v>4505628.04213</v>
      </c>
      <c r="D82" s="19" t="s">
        <v>38</v>
      </c>
      <c r="E82" s="19" t="s">
        <v>38</v>
      </c>
      <c r="F82" s="19" t="s">
        <v>38</v>
      </c>
      <c r="G82" s="19" t="s">
        <v>38</v>
      </c>
      <c r="H82" s="19" t="s">
        <v>38</v>
      </c>
      <c r="I82" s="19" t="s">
        <v>38</v>
      </c>
      <c r="J82" s="19" t="s">
        <v>38</v>
      </c>
      <c r="K82" s="19" t="s">
        <v>38</v>
      </c>
      <c r="L82" s="19" t="s">
        <v>38</v>
      </c>
      <c r="M82" s="19" t="s">
        <v>38</v>
      </c>
      <c r="N82" s="23" t="s">
        <v>38</v>
      </c>
      <c r="O82" s="23" t="s">
        <v>38</v>
      </c>
      <c r="P82" s="23" t="s">
        <v>38</v>
      </c>
      <c r="Q82" s="23" t="s">
        <v>38</v>
      </c>
      <c r="R82" s="23" t="s">
        <v>38</v>
      </c>
      <c r="S82" s="23" t="s">
        <v>38</v>
      </c>
      <c r="T82" s="19" t="s">
        <v>38</v>
      </c>
      <c r="U82" s="19" t="s">
        <v>38</v>
      </c>
      <c r="V82" s="19" t="s">
        <v>38</v>
      </c>
      <c r="W82" s="19" t="s">
        <v>38</v>
      </c>
      <c r="X82" s="19" t="s">
        <v>38</v>
      </c>
      <c r="Y82" s="19" t="s">
        <v>38</v>
      </c>
      <c r="Z82" s="19" t="s">
        <v>38</v>
      </c>
      <c r="AA82" s="19" t="s">
        <v>38</v>
      </c>
      <c r="AB82" s="19" t="s">
        <v>38</v>
      </c>
      <c r="AC82" s="19" t="s">
        <v>38</v>
      </c>
      <c r="AD82" s="19" t="s">
        <v>38</v>
      </c>
      <c r="AE82" s="19" t="s">
        <v>38</v>
      </c>
      <c r="AF82" s="19" t="s">
        <v>38</v>
      </c>
      <c r="AG82" s="19" t="s">
        <v>38</v>
      </c>
      <c r="AH82" s="19" t="s">
        <v>38</v>
      </c>
      <c r="AI82" s="19" t="s">
        <v>38</v>
      </c>
      <c r="AJ82" s="19" t="s">
        <v>38</v>
      </c>
      <c r="AK82" s="19" t="s">
        <v>38</v>
      </c>
      <c r="AL82" s="19" t="s">
        <v>38</v>
      </c>
      <c r="AM82" s="19" t="s">
        <v>38</v>
      </c>
      <c r="AN82" s="19" t="s">
        <v>38</v>
      </c>
      <c r="AO82" s="19" t="s">
        <v>38</v>
      </c>
      <c r="AP82" s="19" t="s">
        <v>38</v>
      </c>
      <c r="AQ82" s="19" t="s">
        <v>38</v>
      </c>
      <c r="AR82" s="19" t="s">
        <v>38</v>
      </c>
      <c r="AS82" s="19" t="s">
        <v>38</v>
      </c>
      <c r="AT82" s="19" t="s">
        <v>38</v>
      </c>
      <c r="AU82" s="19" t="s">
        <v>38</v>
      </c>
      <c r="AV82" s="19" t="s">
        <v>38</v>
      </c>
      <c r="AW82" s="19" t="s">
        <v>38</v>
      </c>
      <c r="AX82" s="19" t="s">
        <v>38</v>
      </c>
      <c r="AY82" s="19" t="s">
        <v>38</v>
      </c>
      <c r="AZ82" s="19" t="s">
        <v>38</v>
      </c>
      <c r="BA82" s="19" t="s">
        <v>38</v>
      </c>
      <c r="BB82" s="19" t="s">
        <v>38</v>
      </c>
      <c r="BC82" s="19" t="s">
        <v>38</v>
      </c>
      <c r="BD82" s="19" t="s">
        <v>38</v>
      </c>
      <c r="BE82" s="19" t="s">
        <v>38</v>
      </c>
      <c r="BF82" s="19" t="s">
        <v>38</v>
      </c>
      <c r="BG82" s="19" t="s">
        <v>38</v>
      </c>
      <c r="BH82" s="19" t="s">
        <v>38</v>
      </c>
      <c r="BI82" s="19" t="s">
        <v>38</v>
      </c>
      <c r="BJ82" s="19" t="s">
        <v>38</v>
      </c>
      <c r="BK82" s="19" t="s">
        <v>38</v>
      </c>
      <c r="BL82" s="19" t="s">
        <v>38</v>
      </c>
      <c r="BM82" s="19" t="s">
        <v>38</v>
      </c>
      <c r="BN82" s="19" t="s">
        <v>38</v>
      </c>
      <c r="BO82" s="19" t="s">
        <v>38</v>
      </c>
      <c r="BP82" s="19" t="s">
        <v>38</v>
      </c>
      <c r="BQ82" s="19" t="s">
        <v>38</v>
      </c>
      <c r="BR82" s="19" t="s">
        <v>38</v>
      </c>
      <c r="BS82" s="19" t="s">
        <v>38</v>
      </c>
      <c r="BT82" s="19" t="s">
        <v>38</v>
      </c>
      <c r="BU82" s="19" t="s">
        <v>38</v>
      </c>
      <c r="BV82" s="19" t="s">
        <v>38</v>
      </c>
      <c r="BW82" s="19" t="s">
        <v>38</v>
      </c>
      <c r="BX82" s="19" t="s">
        <v>38</v>
      </c>
      <c r="BY82" s="85" t="s">
        <v>38</v>
      </c>
      <c r="BZ82" s="84" t="s">
        <v>38</v>
      </c>
      <c r="CA82" s="86" t="s">
        <v>38</v>
      </c>
    </row>
    <row r="83" spans="1:79">
      <c r="A83" s="60" t="s">
        <v>27</v>
      </c>
      <c r="B83" s="82">
        <v>254490.34821900001</v>
      </c>
      <c r="C83" s="82">
        <v>4505626.1343099996</v>
      </c>
      <c r="D83" s="19" t="s">
        <v>38</v>
      </c>
      <c r="E83" s="19" t="s">
        <v>38</v>
      </c>
      <c r="F83" s="19" t="s">
        <v>38</v>
      </c>
      <c r="G83" s="19" t="s">
        <v>38</v>
      </c>
      <c r="H83" s="19" t="s">
        <v>38</v>
      </c>
      <c r="I83" s="19" t="s">
        <v>38</v>
      </c>
      <c r="J83" s="19" t="s">
        <v>38</v>
      </c>
      <c r="K83" s="19" t="s">
        <v>38</v>
      </c>
      <c r="L83" s="19" t="s">
        <v>38</v>
      </c>
      <c r="M83" s="19" t="s">
        <v>38</v>
      </c>
      <c r="N83" s="23" t="s">
        <v>38</v>
      </c>
      <c r="O83" s="23" t="s">
        <v>38</v>
      </c>
      <c r="P83" s="23" t="s">
        <v>38</v>
      </c>
      <c r="Q83" s="23" t="s">
        <v>38</v>
      </c>
      <c r="R83" s="23" t="s">
        <v>38</v>
      </c>
      <c r="S83" s="23" t="s">
        <v>38</v>
      </c>
      <c r="T83" s="19" t="s">
        <v>38</v>
      </c>
      <c r="U83" s="19" t="s">
        <v>38</v>
      </c>
      <c r="V83" s="19" t="s">
        <v>38</v>
      </c>
      <c r="W83" s="19" t="s">
        <v>38</v>
      </c>
      <c r="X83" s="19" t="s">
        <v>38</v>
      </c>
      <c r="Y83" s="19" t="s">
        <v>38</v>
      </c>
      <c r="Z83" s="19" t="s">
        <v>38</v>
      </c>
      <c r="AA83" s="19" t="s">
        <v>38</v>
      </c>
      <c r="AB83" s="19" t="s">
        <v>38</v>
      </c>
      <c r="AC83" s="19" t="s">
        <v>38</v>
      </c>
      <c r="AD83" s="19" t="s">
        <v>38</v>
      </c>
      <c r="AE83" s="19" t="s">
        <v>38</v>
      </c>
      <c r="AF83" s="19" t="s">
        <v>38</v>
      </c>
      <c r="AG83" s="19" t="s">
        <v>38</v>
      </c>
      <c r="AH83" s="19" t="s">
        <v>38</v>
      </c>
      <c r="AI83" s="19" t="s">
        <v>38</v>
      </c>
      <c r="AJ83" s="19" t="s">
        <v>38</v>
      </c>
      <c r="AK83" s="19" t="s">
        <v>38</v>
      </c>
      <c r="AL83" s="19" t="s">
        <v>38</v>
      </c>
      <c r="AM83" s="19" t="s">
        <v>38</v>
      </c>
      <c r="AN83" s="19" t="s">
        <v>38</v>
      </c>
      <c r="AO83" s="19" t="s">
        <v>38</v>
      </c>
      <c r="AP83" s="19" t="s">
        <v>38</v>
      </c>
      <c r="AQ83" s="19" t="s">
        <v>38</v>
      </c>
      <c r="AR83" s="19" t="s">
        <v>38</v>
      </c>
      <c r="AS83" s="19" t="s">
        <v>38</v>
      </c>
      <c r="AT83" s="19" t="s">
        <v>38</v>
      </c>
      <c r="AU83" s="19" t="s">
        <v>38</v>
      </c>
      <c r="AV83" s="19" t="s">
        <v>38</v>
      </c>
      <c r="AW83" s="19" t="s">
        <v>38</v>
      </c>
      <c r="AX83" s="19" t="s">
        <v>38</v>
      </c>
      <c r="AY83" s="19" t="s">
        <v>38</v>
      </c>
      <c r="AZ83" s="19" t="s">
        <v>38</v>
      </c>
      <c r="BA83" s="19" t="s">
        <v>38</v>
      </c>
      <c r="BB83" s="19" t="s">
        <v>38</v>
      </c>
      <c r="BC83" s="19" t="s">
        <v>38</v>
      </c>
      <c r="BD83" s="19" t="s">
        <v>38</v>
      </c>
      <c r="BE83" s="19" t="s">
        <v>38</v>
      </c>
      <c r="BF83" s="19" t="s">
        <v>38</v>
      </c>
      <c r="BG83" s="19" t="s">
        <v>38</v>
      </c>
      <c r="BH83" s="19" t="s">
        <v>38</v>
      </c>
      <c r="BI83" s="19" t="s">
        <v>38</v>
      </c>
      <c r="BJ83" s="19" t="s">
        <v>38</v>
      </c>
      <c r="BK83" s="19" t="s">
        <v>38</v>
      </c>
      <c r="BL83" s="19" t="s">
        <v>38</v>
      </c>
      <c r="BM83" s="19" t="s">
        <v>38</v>
      </c>
      <c r="BN83" s="19" t="s">
        <v>38</v>
      </c>
      <c r="BO83" s="19" t="s">
        <v>38</v>
      </c>
      <c r="BP83" s="19" t="s">
        <v>38</v>
      </c>
      <c r="BQ83" s="19" t="s">
        <v>38</v>
      </c>
      <c r="BR83" s="19" t="s">
        <v>38</v>
      </c>
      <c r="BS83" s="19" t="s">
        <v>38</v>
      </c>
      <c r="BT83" s="19" t="s">
        <v>38</v>
      </c>
      <c r="BU83" s="19" t="s">
        <v>38</v>
      </c>
      <c r="BV83" s="19" t="s">
        <v>38</v>
      </c>
      <c r="BW83" s="19" t="s">
        <v>38</v>
      </c>
      <c r="BX83" s="19" t="s">
        <v>38</v>
      </c>
      <c r="BY83" s="85" t="s">
        <v>38</v>
      </c>
      <c r="BZ83" s="85" t="s">
        <v>38</v>
      </c>
      <c r="CA83" s="86" t="s">
        <v>38</v>
      </c>
    </row>
    <row r="84" spans="1:79">
      <c r="A84" s="60" t="s">
        <v>28</v>
      </c>
      <c r="B84" s="82">
        <v>254488.395021</v>
      </c>
      <c r="C84" s="82">
        <v>4505626.3354900004</v>
      </c>
      <c r="D84" s="19" t="s">
        <v>38</v>
      </c>
      <c r="E84" s="19" t="s">
        <v>38</v>
      </c>
      <c r="F84" s="19" t="s">
        <v>38</v>
      </c>
      <c r="G84" s="19" t="s">
        <v>38</v>
      </c>
      <c r="H84" s="19" t="s">
        <v>38</v>
      </c>
      <c r="I84" s="19" t="s">
        <v>38</v>
      </c>
      <c r="J84" s="19" t="s">
        <v>38</v>
      </c>
      <c r="K84" s="19" t="s">
        <v>38</v>
      </c>
      <c r="L84" s="19" t="s">
        <v>38</v>
      </c>
      <c r="M84" s="19" t="s">
        <v>38</v>
      </c>
      <c r="N84" s="23" t="s">
        <v>38</v>
      </c>
      <c r="O84" s="23" t="s">
        <v>38</v>
      </c>
      <c r="P84" s="23" t="s">
        <v>38</v>
      </c>
      <c r="Q84" s="23" t="s">
        <v>38</v>
      </c>
      <c r="R84" s="23" t="s">
        <v>38</v>
      </c>
      <c r="S84" s="23" t="s">
        <v>38</v>
      </c>
      <c r="T84" s="19" t="s">
        <v>38</v>
      </c>
      <c r="U84" s="19" t="s">
        <v>38</v>
      </c>
      <c r="V84" s="19" t="s">
        <v>38</v>
      </c>
      <c r="W84" s="19" t="s">
        <v>38</v>
      </c>
      <c r="X84" s="19" t="s">
        <v>38</v>
      </c>
      <c r="Y84" s="19" t="s">
        <v>38</v>
      </c>
      <c r="Z84" s="19" t="s">
        <v>38</v>
      </c>
      <c r="AA84" s="19" t="s">
        <v>38</v>
      </c>
      <c r="AB84" s="19" t="s">
        <v>38</v>
      </c>
      <c r="AC84" s="19" t="s">
        <v>38</v>
      </c>
      <c r="AD84" s="19" t="s">
        <v>38</v>
      </c>
      <c r="AE84" s="19" t="s">
        <v>38</v>
      </c>
      <c r="AF84" s="19" t="s">
        <v>38</v>
      </c>
      <c r="AG84" s="19" t="s">
        <v>38</v>
      </c>
      <c r="AH84" s="19" t="s">
        <v>38</v>
      </c>
      <c r="AI84" s="19" t="s">
        <v>38</v>
      </c>
      <c r="AJ84" s="19" t="s">
        <v>38</v>
      </c>
      <c r="AK84" s="19" t="s">
        <v>38</v>
      </c>
      <c r="AL84" s="19" t="s">
        <v>38</v>
      </c>
      <c r="AM84" s="19" t="s">
        <v>38</v>
      </c>
      <c r="AN84" s="19" t="s">
        <v>38</v>
      </c>
      <c r="AO84" s="19" t="s">
        <v>38</v>
      </c>
      <c r="AP84" s="19" t="s">
        <v>38</v>
      </c>
      <c r="AQ84" s="19" t="s">
        <v>38</v>
      </c>
      <c r="AR84" s="19" t="s">
        <v>38</v>
      </c>
      <c r="AS84" s="19" t="s">
        <v>38</v>
      </c>
      <c r="AT84" s="19" t="s">
        <v>38</v>
      </c>
      <c r="AU84" s="19" t="s">
        <v>38</v>
      </c>
      <c r="AV84" s="19" t="s">
        <v>38</v>
      </c>
      <c r="AW84" s="19" t="s">
        <v>38</v>
      </c>
      <c r="AX84" s="19" t="s">
        <v>38</v>
      </c>
      <c r="AY84" s="19" t="s">
        <v>38</v>
      </c>
      <c r="AZ84" s="19" t="s">
        <v>38</v>
      </c>
      <c r="BA84" s="19" t="s">
        <v>38</v>
      </c>
      <c r="BB84" s="19" t="s">
        <v>38</v>
      </c>
      <c r="BC84" s="19" t="s">
        <v>38</v>
      </c>
      <c r="BD84" s="19" t="s">
        <v>38</v>
      </c>
      <c r="BE84" s="19" t="s">
        <v>38</v>
      </c>
      <c r="BF84" s="19" t="s">
        <v>38</v>
      </c>
      <c r="BG84" s="19" t="s">
        <v>38</v>
      </c>
      <c r="BH84" s="19" t="s">
        <v>38</v>
      </c>
      <c r="BI84" s="19" t="s">
        <v>38</v>
      </c>
      <c r="BJ84" s="19" t="s">
        <v>38</v>
      </c>
      <c r="BK84" s="19" t="s">
        <v>38</v>
      </c>
      <c r="BL84" s="19" t="s">
        <v>38</v>
      </c>
      <c r="BM84" s="19" t="s">
        <v>38</v>
      </c>
      <c r="BN84" s="19" t="s">
        <v>38</v>
      </c>
      <c r="BO84" s="19" t="s">
        <v>38</v>
      </c>
      <c r="BP84" s="19" t="s">
        <v>38</v>
      </c>
      <c r="BQ84" s="19" t="s">
        <v>38</v>
      </c>
      <c r="BR84" s="19" t="s">
        <v>38</v>
      </c>
      <c r="BS84" s="19" t="s">
        <v>38</v>
      </c>
      <c r="BT84" s="19" t="s">
        <v>38</v>
      </c>
      <c r="BU84" s="19" t="s">
        <v>38</v>
      </c>
      <c r="BV84" s="19" t="s">
        <v>38</v>
      </c>
      <c r="BW84" s="19" t="s">
        <v>38</v>
      </c>
      <c r="BX84" s="19" t="s">
        <v>38</v>
      </c>
      <c r="BY84" s="85" t="s">
        <v>38</v>
      </c>
      <c r="BZ84" s="85" t="s">
        <v>38</v>
      </c>
      <c r="CA84" s="86" t="s">
        <v>38</v>
      </c>
    </row>
    <row r="85" spans="1:79">
      <c r="A85" s="60" t="s">
        <v>29</v>
      </c>
      <c r="B85" s="82">
        <v>254488.63037900001</v>
      </c>
      <c r="C85" s="82">
        <v>4505628.1816299995</v>
      </c>
      <c r="D85" s="19" t="s">
        <v>38</v>
      </c>
      <c r="E85" s="19" t="s">
        <v>38</v>
      </c>
      <c r="F85" s="19" t="s">
        <v>38</v>
      </c>
      <c r="G85" s="19" t="s">
        <v>38</v>
      </c>
      <c r="H85" s="19" t="s">
        <v>38</v>
      </c>
      <c r="I85" s="19" t="s">
        <v>38</v>
      </c>
      <c r="J85" s="19" t="s">
        <v>38</v>
      </c>
      <c r="K85" s="19" t="s">
        <v>38</v>
      </c>
      <c r="L85" s="19" t="s">
        <v>38</v>
      </c>
      <c r="M85" s="19" t="s">
        <v>38</v>
      </c>
      <c r="N85" s="23" t="s">
        <v>38</v>
      </c>
      <c r="O85" s="23" t="s">
        <v>38</v>
      </c>
      <c r="P85" s="23" t="s">
        <v>38</v>
      </c>
      <c r="Q85" s="23" t="s">
        <v>38</v>
      </c>
      <c r="R85" s="23" t="s">
        <v>38</v>
      </c>
      <c r="S85" s="23" t="s">
        <v>38</v>
      </c>
      <c r="T85" s="19" t="s">
        <v>38</v>
      </c>
      <c r="U85" s="19" t="s">
        <v>38</v>
      </c>
      <c r="V85" s="19" t="s">
        <v>38</v>
      </c>
      <c r="W85" s="19" t="s">
        <v>38</v>
      </c>
      <c r="X85" s="19" t="s">
        <v>38</v>
      </c>
      <c r="Y85" s="19" t="s">
        <v>38</v>
      </c>
      <c r="Z85" s="19" t="s">
        <v>38</v>
      </c>
      <c r="AA85" s="19" t="s">
        <v>38</v>
      </c>
      <c r="AB85" s="19" t="s">
        <v>38</v>
      </c>
      <c r="AC85" s="19" t="s">
        <v>38</v>
      </c>
      <c r="AD85" s="19" t="s">
        <v>38</v>
      </c>
      <c r="AE85" s="19" t="s">
        <v>38</v>
      </c>
      <c r="AF85" s="19" t="s">
        <v>38</v>
      </c>
      <c r="AG85" s="19" t="s">
        <v>38</v>
      </c>
      <c r="AH85" s="19" t="s">
        <v>38</v>
      </c>
      <c r="AI85" s="19" t="s">
        <v>38</v>
      </c>
      <c r="AJ85" s="19" t="s">
        <v>38</v>
      </c>
      <c r="AK85" s="19" t="s">
        <v>38</v>
      </c>
      <c r="AL85" s="19" t="s">
        <v>38</v>
      </c>
      <c r="AM85" s="19" t="s">
        <v>38</v>
      </c>
      <c r="AN85" s="19" t="s">
        <v>38</v>
      </c>
      <c r="AO85" s="19" t="s">
        <v>38</v>
      </c>
      <c r="AP85" s="19" t="s">
        <v>38</v>
      </c>
      <c r="AQ85" s="19" t="s">
        <v>38</v>
      </c>
      <c r="AR85" s="19" t="s">
        <v>38</v>
      </c>
      <c r="AS85" s="19" t="s">
        <v>38</v>
      </c>
      <c r="AT85" s="19" t="s">
        <v>38</v>
      </c>
      <c r="AU85" s="19" t="s">
        <v>38</v>
      </c>
      <c r="AV85" s="19" t="s">
        <v>38</v>
      </c>
      <c r="AW85" s="19" t="s">
        <v>38</v>
      </c>
      <c r="AX85" s="19" t="s">
        <v>38</v>
      </c>
      <c r="AY85" s="19" t="s">
        <v>38</v>
      </c>
      <c r="AZ85" s="19" t="s">
        <v>38</v>
      </c>
      <c r="BA85" s="19" t="s">
        <v>38</v>
      </c>
      <c r="BB85" s="19" t="s">
        <v>38</v>
      </c>
      <c r="BC85" s="19" t="s">
        <v>38</v>
      </c>
      <c r="BD85" s="19" t="s">
        <v>38</v>
      </c>
      <c r="BE85" s="19" t="s">
        <v>38</v>
      </c>
      <c r="BF85" s="19" t="s">
        <v>38</v>
      </c>
      <c r="BG85" s="19" t="s">
        <v>38</v>
      </c>
      <c r="BH85" s="19" t="s">
        <v>38</v>
      </c>
      <c r="BI85" s="19" t="s">
        <v>38</v>
      </c>
      <c r="BJ85" s="19" t="s">
        <v>38</v>
      </c>
      <c r="BK85" s="19" t="s">
        <v>38</v>
      </c>
      <c r="BL85" s="19" t="s">
        <v>38</v>
      </c>
      <c r="BM85" s="19" t="s">
        <v>38</v>
      </c>
      <c r="BN85" s="19" t="s">
        <v>38</v>
      </c>
      <c r="BO85" s="19" t="s">
        <v>38</v>
      </c>
      <c r="BP85" s="19" t="s">
        <v>38</v>
      </c>
      <c r="BQ85" s="19" t="s">
        <v>38</v>
      </c>
      <c r="BR85" s="19" t="s">
        <v>38</v>
      </c>
      <c r="BS85" s="19" t="s">
        <v>38</v>
      </c>
      <c r="BT85" s="19" t="s">
        <v>38</v>
      </c>
      <c r="BU85" s="19" t="s">
        <v>38</v>
      </c>
      <c r="BV85" s="19" t="s">
        <v>38</v>
      </c>
      <c r="BW85" s="19" t="s">
        <v>38</v>
      </c>
      <c r="BX85" s="19" t="s">
        <v>38</v>
      </c>
      <c r="BY85" s="85" t="s">
        <v>38</v>
      </c>
      <c r="BZ85" s="85" t="s">
        <v>38</v>
      </c>
      <c r="CA85" s="86" t="s">
        <v>38</v>
      </c>
    </row>
    <row r="86" spans="1:79">
      <c r="A86" s="60">
        <v>61</v>
      </c>
      <c r="B86" s="82">
        <v>254539.52779299999</v>
      </c>
      <c r="C86" s="82">
        <v>4505618.9177599996</v>
      </c>
      <c r="D86" s="19" t="s">
        <v>38</v>
      </c>
      <c r="E86" s="19">
        <v>0.32550000000000001</v>
      </c>
      <c r="F86" s="19">
        <v>0.35</v>
      </c>
      <c r="G86" s="19">
        <v>0.34050000000000002</v>
      </c>
      <c r="H86" s="19">
        <v>0.309</v>
      </c>
      <c r="I86" s="19">
        <v>0.30449999999999999</v>
      </c>
      <c r="J86" s="19">
        <v>0.27715000000000001</v>
      </c>
      <c r="K86" s="19">
        <v>0.24299999999999999</v>
      </c>
      <c r="L86" s="19">
        <v>0.25950000000000001</v>
      </c>
      <c r="M86" s="19" t="s">
        <v>38</v>
      </c>
      <c r="N86" s="23" t="s">
        <v>38</v>
      </c>
      <c r="O86" s="16">
        <v>0.22950000000000001</v>
      </c>
      <c r="P86" s="23" t="s">
        <v>38</v>
      </c>
      <c r="Q86" s="23" t="s">
        <v>38</v>
      </c>
      <c r="R86" s="16">
        <v>7.3000000000000009E-2</v>
      </c>
      <c r="S86" s="23" t="s">
        <v>38</v>
      </c>
      <c r="T86" s="23">
        <v>0.40600000000000003</v>
      </c>
      <c r="U86" s="23">
        <v>0.41499999999999998</v>
      </c>
      <c r="V86" s="23">
        <v>0.379</v>
      </c>
      <c r="W86" s="23">
        <v>0.48799999999999999</v>
      </c>
      <c r="X86" s="23">
        <v>0.38</v>
      </c>
      <c r="Y86" s="24">
        <v>0.377</v>
      </c>
      <c r="Z86" s="23">
        <v>0.378</v>
      </c>
      <c r="AA86" s="23">
        <v>0.38200000000000001</v>
      </c>
      <c r="AB86" s="23">
        <v>0.40500000000000003</v>
      </c>
      <c r="AC86" s="24">
        <v>0.36699999999999999</v>
      </c>
      <c r="AD86" s="16">
        <v>0.38800000000000001</v>
      </c>
      <c r="AE86" s="16">
        <v>0.31</v>
      </c>
      <c r="AF86" s="16">
        <v>0.28199999999999997</v>
      </c>
      <c r="AG86" s="16">
        <v>0.316</v>
      </c>
      <c r="AH86" s="16">
        <v>0.24099999999999999</v>
      </c>
      <c r="AI86" s="16">
        <v>0.26500000000000001</v>
      </c>
      <c r="AJ86" s="16">
        <v>0.254</v>
      </c>
      <c r="AK86" s="16">
        <v>0.246</v>
      </c>
      <c r="AL86" s="16">
        <v>0.28999999999999998</v>
      </c>
      <c r="AM86" s="16">
        <v>0.39300000000000002</v>
      </c>
      <c r="AN86" s="40">
        <v>0.34499999999999997</v>
      </c>
      <c r="AO86" s="40">
        <v>0.25</v>
      </c>
      <c r="AP86" s="40">
        <v>0.29799999999999999</v>
      </c>
      <c r="AQ86" s="40">
        <v>0.34399999999999997</v>
      </c>
      <c r="AR86" s="40">
        <v>0.32400000000000001</v>
      </c>
      <c r="AS86" s="40" t="s">
        <v>38</v>
      </c>
      <c r="AT86" s="40">
        <v>0.308</v>
      </c>
      <c r="AU86" s="40">
        <v>0.27100000000000002</v>
      </c>
      <c r="AV86" s="40">
        <v>0.29199999999999998</v>
      </c>
      <c r="AW86" s="40">
        <v>0.249</v>
      </c>
      <c r="AX86" s="40">
        <v>0.23100000000000001</v>
      </c>
      <c r="AY86" s="40">
        <v>0.26300000000000001</v>
      </c>
      <c r="AZ86" s="40">
        <v>0.23200000000000001</v>
      </c>
      <c r="BA86" s="40">
        <v>0.107</v>
      </c>
      <c r="BB86" s="49">
        <v>0.216</v>
      </c>
      <c r="BC86" s="40">
        <v>0.25900000000000001</v>
      </c>
      <c r="BD86" s="50">
        <v>0.26800000000000002</v>
      </c>
      <c r="BE86" s="19" t="s">
        <v>38</v>
      </c>
      <c r="BF86" s="50">
        <v>0.23149999999999998</v>
      </c>
      <c r="BG86" s="40">
        <v>0.38450000000000001</v>
      </c>
      <c r="BH86" s="38">
        <v>0.28449999999999998</v>
      </c>
      <c r="BI86" s="38">
        <v>0.32650000000000001</v>
      </c>
      <c r="BJ86" s="38">
        <v>0.39950000000000002</v>
      </c>
      <c r="BK86" s="38">
        <v>0.30299999999999999</v>
      </c>
      <c r="BL86" s="38">
        <v>0.3155</v>
      </c>
      <c r="BM86" s="38">
        <v>0.36699999999999999</v>
      </c>
      <c r="BN86" s="19" t="s">
        <v>38</v>
      </c>
      <c r="BO86" s="40">
        <v>0.33</v>
      </c>
      <c r="BP86" s="38">
        <v>0.33950000000000002</v>
      </c>
      <c r="BQ86" s="38">
        <v>0.27450000000000002</v>
      </c>
      <c r="BR86" s="41">
        <v>0.25950000000000001</v>
      </c>
      <c r="BS86" s="19" t="s">
        <v>38</v>
      </c>
      <c r="BT86" s="41">
        <v>0.2445</v>
      </c>
      <c r="BU86" s="42">
        <v>0.24399999999999999</v>
      </c>
      <c r="BV86" s="41">
        <v>0.24349999999999999</v>
      </c>
      <c r="BW86" s="42" t="s">
        <v>38</v>
      </c>
      <c r="BX86" s="42" t="s">
        <v>38</v>
      </c>
      <c r="BY86" s="85">
        <f>(0.352+0.378)/2</f>
        <v>0.36499999999999999</v>
      </c>
      <c r="BZ86" s="85">
        <f>(0.338+0.329)/2</f>
        <v>0.33350000000000002</v>
      </c>
      <c r="CA86" s="86">
        <v>0.46100000000000002</v>
      </c>
    </row>
    <row r="87" spans="1:79">
      <c r="A87" s="60" t="s">
        <v>30</v>
      </c>
      <c r="B87" s="82">
        <v>254540.82258800001</v>
      </c>
      <c r="C87" s="82">
        <v>4505618.2169500003</v>
      </c>
      <c r="D87" s="19" t="s">
        <v>38</v>
      </c>
      <c r="E87" s="19">
        <v>6.5000000000000002E-2</v>
      </c>
      <c r="F87" s="19">
        <v>0.161</v>
      </c>
      <c r="G87" s="19">
        <v>0.14300000000000002</v>
      </c>
      <c r="H87" s="19">
        <v>0.189</v>
      </c>
      <c r="I87" s="19">
        <v>0.11649999999999999</v>
      </c>
      <c r="J87" s="19">
        <v>0.124</v>
      </c>
      <c r="K87" s="19">
        <v>0.13850000000000001</v>
      </c>
      <c r="L87" s="19">
        <v>0.20700000000000002</v>
      </c>
      <c r="M87" s="19">
        <v>9.0499999999999997E-2</v>
      </c>
      <c r="N87" s="16">
        <v>5.8500000000000003E-2</v>
      </c>
      <c r="O87" s="16">
        <v>0.10550000000000001</v>
      </c>
      <c r="P87" s="23" t="s">
        <v>38</v>
      </c>
      <c r="Q87" s="16">
        <v>8.3500000000000005E-2</v>
      </c>
      <c r="R87" s="23" t="s">
        <v>38</v>
      </c>
      <c r="S87" s="16">
        <v>0.14949999999999999</v>
      </c>
      <c r="T87" s="16">
        <v>0.182</v>
      </c>
      <c r="U87" s="16">
        <v>0.16</v>
      </c>
      <c r="V87" s="16">
        <v>0.20899999999999999</v>
      </c>
      <c r="W87" s="16">
        <v>0.218</v>
      </c>
      <c r="X87" s="23">
        <v>9.2999999999999999E-2</v>
      </c>
      <c r="Y87" s="24" t="s">
        <v>38</v>
      </c>
      <c r="Z87" s="23">
        <v>0.14299999999999999</v>
      </c>
      <c r="AA87" s="23">
        <v>9.4E-2</v>
      </c>
      <c r="AB87" s="23">
        <v>0.13200000000000001</v>
      </c>
      <c r="AC87" s="24">
        <v>8.5999999999999993E-2</v>
      </c>
      <c r="AD87" s="16">
        <v>0.184</v>
      </c>
      <c r="AE87" s="16" t="s">
        <v>38</v>
      </c>
      <c r="AF87" s="16">
        <v>0.106</v>
      </c>
      <c r="AG87" s="16">
        <v>6.5000000000000002E-2</v>
      </c>
      <c r="AH87" s="16">
        <v>0.17100000000000001</v>
      </c>
      <c r="AI87" s="16" t="s">
        <v>38</v>
      </c>
      <c r="AJ87" s="16" t="s">
        <v>38</v>
      </c>
      <c r="AK87" s="16">
        <v>0.153</v>
      </c>
      <c r="AL87" s="16" t="s">
        <v>38</v>
      </c>
      <c r="AM87" s="16">
        <v>0.183</v>
      </c>
      <c r="AN87" s="40">
        <v>0.16300000000000001</v>
      </c>
      <c r="AO87" s="40" t="s">
        <v>38</v>
      </c>
      <c r="AP87" s="40" t="s">
        <v>38</v>
      </c>
      <c r="AQ87" s="40">
        <v>9.6000000000000002E-2</v>
      </c>
      <c r="AR87" s="40" t="s">
        <v>38</v>
      </c>
      <c r="AS87" s="40" t="s">
        <v>38</v>
      </c>
      <c r="AT87" s="40" t="s">
        <v>38</v>
      </c>
      <c r="AU87" s="40">
        <v>0.183</v>
      </c>
      <c r="AV87" s="40" t="s">
        <v>38</v>
      </c>
      <c r="AW87" s="40" t="s">
        <v>38</v>
      </c>
      <c r="AX87" s="40" t="s">
        <v>38</v>
      </c>
      <c r="AY87" s="40">
        <v>0.22700000000000001</v>
      </c>
      <c r="AZ87" s="40">
        <v>0.23</v>
      </c>
      <c r="BA87" s="40">
        <v>0.25700000000000001</v>
      </c>
      <c r="BB87" s="49">
        <v>6.7000000000000004E-2</v>
      </c>
      <c r="BC87" s="40">
        <v>8.6499999999999994E-2</v>
      </c>
      <c r="BD87" s="50">
        <v>6.5000000000000002E-2</v>
      </c>
      <c r="BE87" s="19" t="s">
        <v>38</v>
      </c>
      <c r="BF87" s="50">
        <v>0.16750000000000001</v>
      </c>
      <c r="BG87" s="40">
        <v>0.10700000000000001</v>
      </c>
      <c r="BH87" s="23" t="s">
        <v>38</v>
      </c>
      <c r="BI87" s="23" t="s">
        <v>38</v>
      </c>
      <c r="BJ87" s="23" t="s">
        <v>38</v>
      </c>
      <c r="BK87" s="38">
        <v>0.21249999999999999</v>
      </c>
      <c r="BL87" s="23" t="s">
        <v>38</v>
      </c>
      <c r="BM87" s="23" t="s">
        <v>38</v>
      </c>
      <c r="BN87" s="19" t="s">
        <v>38</v>
      </c>
      <c r="BO87" s="19" t="s">
        <v>38</v>
      </c>
      <c r="BP87" s="19" t="s">
        <v>38</v>
      </c>
      <c r="BQ87" s="38">
        <v>7.5999999999999998E-2</v>
      </c>
      <c r="BR87" s="41">
        <v>8.2000000000000003E-2</v>
      </c>
      <c r="BS87" s="19" t="s">
        <v>38</v>
      </c>
      <c r="BT87" s="41">
        <v>0.1525</v>
      </c>
      <c r="BU87" s="42">
        <v>9.6000000000000002E-2</v>
      </c>
      <c r="BV87" s="41" t="s">
        <v>38</v>
      </c>
      <c r="BW87" s="42">
        <v>0.1265</v>
      </c>
      <c r="BX87" s="42" t="s">
        <v>38</v>
      </c>
      <c r="BY87" s="85">
        <f>(0.156+0.166)/2</f>
        <v>0.161</v>
      </c>
      <c r="BZ87" s="85">
        <f>(0.211+0.178)/2</f>
        <v>0.19450000000000001</v>
      </c>
      <c r="CA87" s="86">
        <v>0.35549999999999998</v>
      </c>
    </row>
    <row r="88" spans="1:79">
      <c r="A88" s="60" t="s">
        <v>31</v>
      </c>
      <c r="B88" s="82">
        <v>254538.99475700001</v>
      </c>
      <c r="C88" s="82">
        <v>4505617.5153299998</v>
      </c>
      <c r="D88" s="19" t="s">
        <v>38</v>
      </c>
      <c r="E88" s="19">
        <v>0.29699999999999999</v>
      </c>
      <c r="F88" s="19">
        <v>0.26700000000000002</v>
      </c>
      <c r="G88" s="19">
        <v>0.28249999999999997</v>
      </c>
      <c r="H88" s="19">
        <v>0.27200000000000002</v>
      </c>
      <c r="I88" s="19">
        <v>0.26200000000000001</v>
      </c>
      <c r="J88" s="19">
        <v>0.23449999999999999</v>
      </c>
      <c r="K88" s="19">
        <v>0.17149999999999999</v>
      </c>
      <c r="L88" s="19">
        <v>0.23299999999999998</v>
      </c>
      <c r="M88" s="19">
        <v>0.182</v>
      </c>
      <c r="N88" s="16">
        <v>0.19350000000000001</v>
      </c>
      <c r="O88" s="16">
        <v>0.16799999999999998</v>
      </c>
      <c r="P88" s="23" t="s">
        <v>38</v>
      </c>
      <c r="Q88" s="16">
        <v>0.245</v>
      </c>
      <c r="R88" s="23" t="s">
        <v>38</v>
      </c>
      <c r="S88" s="23" t="s">
        <v>38</v>
      </c>
      <c r="T88" s="16">
        <v>0.29899999999999999</v>
      </c>
      <c r="U88" s="16">
        <v>0.254</v>
      </c>
      <c r="V88" s="16">
        <v>0.26800000000000002</v>
      </c>
      <c r="W88" s="16">
        <v>0.29699999999999999</v>
      </c>
      <c r="X88" s="23">
        <v>0.28299999999999997</v>
      </c>
      <c r="Y88" s="24" t="s">
        <v>38</v>
      </c>
      <c r="Z88" s="23">
        <v>0.29899999999999999</v>
      </c>
      <c r="AA88" s="23">
        <v>0.28799999999999998</v>
      </c>
      <c r="AB88" s="23">
        <v>0.32600000000000001</v>
      </c>
      <c r="AC88" s="24">
        <v>0.33</v>
      </c>
      <c r="AD88" s="16">
        <v>0.26500000000000001</v>
      </c>
      <c r="AE88" s="16" t="s">
        <v>38</v>
      </c>
      <c r="AF88" s="16">
        <v>0.23599999999999999</v>
      </c>
      <c r="AG88" s="16">
        <v>0.219</v>
      </c>
      <c r="AH88" s="16">
        <v>0.17899999999999999</v>
      </c>
      <c r="AI88" s="16" t="s">
        <v>38</v>
      </c>
      <c r="AJ88" s="16" t="s">
        <v>38</v>
      </c>
      <c r="AK88" s="16">
        <v>0.20899999999999999</v>
      </c>
      <c r="AL88" s="16" t="s">
        <v>38</v>
      </c>
      <c r="AM88" s="16">
        <v>0.313</v>
      </c>
      <c r="AN88" s="40">
        <v>0.27500000000000002</v>
      </c>
      <c r="AO88" s="40" t="s">
        <v>38</v>
      </c>
      <c r="AP88" s="40" t="s">
        <v>38</v>
      </c>
      <c r="AQ88" s="40">
        <v>0.253</v>
      </c>
      <c r="AR88" s="40" t="s">
        <v>38</v>
      </c>
      <c r="AS88" s="40" t="s">
        <v>38</v>
      </c>
      <c r="AT88" s="40" t="s">
        <v>38</v>
      </c>
      <c r="AU88" s="40">
        <v>0.19600000000000001</v>
      </c>
      <c r="AV88" s="40" t="s">
        <v>38</v>
      </c>
      <c r="AW88" s="40" t="s">
        <v>38</v>
      </c>
      <c r="AX88" s="40" t="s">
        <v>38</v>
      </c>
      <c r="AY88" s="40">
        <v>0.2</v>
      </c>
      <c r="AZ88" s="40">
        <v>0.21</v>
      </c>
      <c r="BA88" s="40">
        <v>0.25600000000000001</v>
      </c>
      <c r="BB88" s="49">
        <v>0.187</v>
      </c>
      <c r="BC88" s="40">
        <v>0.19550000000000001</v>
      </c>
      <c r="BD88" s="50">
        <v>0.21350000000000002</v>
      </c>
      <c r="BE88" s="19" t="s">
        <v>38</v>
      </c>
      <c r="BF88" s="50">
        <v>0.23</v>
      </c>
      <c r="BG88" s="40">
        <v>0.29499999999999998</v>
      </c>
      <c r="BH88" s="23" t="s">
        <v>38</v>
      </c>
      <c r="BI88" s="23" t="s">
        <v>38</v>
      </c>
      <c r="BJ88" s="23" t="s">
        <v>38</v>
      </c>
      <c r="BK88" s="38">
        <v>0.29249999999999998</v>
      </c>
      <c r="BL88" s="23" t="s">
        <v>38</v>
      </c>
      <c r="BM88" s="23" t="s">
        <v>38</v>
      </c>
      <c r="BN88" s="19" t="s">
        <v>38</v>
      </c>
      <c r="BO88" s="19" t="s">
        <v>38</v>
      </c>
      <c r="BP88" s="19" t="s">
        <v>38</v>
      </c>
      <c r="BQ88" s="38">
        <v>0.22650000000000001</v>
      </c>
      <c r="BR88" s="41">
        <v>0.20100000000000001</v>
      </c>
      <c r="BS88" s="19" t="s">
        <v>38</v>
      </c>
      <c r="BT88" s="41">
        <v>0.20600000000000002</v>
      </c>
      <c r="BU88" s="42">
        <v>0.2485</v>
      </c>
      <c r="BV88" s="41" t="s">
        <v>38</v>
      </c>
      <c r="BW88" s="41" t="s">
        <v>38</v>
      </c>
      <c r="BX88" s="41" t="s">
        <v>38</v>
      </c>
      <c r="BY88" s="85">
        <f>(0.28+0.282)/2</f>
        <v>0.28100000000000003</v>
      </c>
      <c r="BZ88" s="85">
        <f>(0.299+0.292)/2</f>
        <v>0.29549999999999998</v>
      </c>
      <c r="CA88" s="86">
        <v>0.45800000000000002</v>
      </c>
    </row>
    <row r="89" spans="1:79">
      <c r="A89" s="60" t="s">
        <v>32</v>
      </c>
      <c r="B89" s="82">
        <v>254538.198217</v>
      </c>
      <c r="C89" s="82">
        <v>4505619.3421200002</v>
      </c>
      <c r="D89" s="19" t="s">
        <v>38</v>
      </c>
      <c r="E89" s="19">
        <v>0.29399999999999998</v>
      </c>
      <c r="F89" s="19">
        <v>0.3175</v>
      </c>
      <c r="G89" s="19">
        <v>0.27800000000000002</v>
      </c>
      <c r="H89" s="19">
        <v>0.30049999999999999</v>
      </c>
      <c r="I89" s="19">
        <v>0.26</v>
      </c>
      <c r="J89" s="19">
        <v>0.2205</v>
      </c>
      <c r="K89" s="19">
        <v>0.19750000000000001</v>
      </c>
      <c r="L89" s="19">
        <v>5.9000000000000004E-2</v>
      </c>
      <c r="M89" s="19">
        <v>0.18149999999999999</v>
      </c>
      <c r="N89" s="16">
        <v>0.1585</v>
      </c>
      <c r="O89" s="16">
        <v>0.17249999999999999</v>
      </c>
      <c r="P89" s="23" t="s">
        <v>38</v>
      </c>
      <c r="Q89" s="16">
        <v>0.2185</v>
      </c>
      <c r="R89" s="23" t="s">
        <v>38</v>
      </c>
      <c r="S89" s="23" t="s">
        <v>38</v>
      </c>
      <c r="T89" s="16">
        <v>0.29299999999999998</v>
      </c>
      <c r="U89" s="16">
        <v>0.26400000000000001</v>
      </c>
      <c r="V89" s="16">
        <v>0.314</v>
      </c>
      <c r="W89" s="16">
        <v>0.376</v>
      </c>
      <c r="X89" s="23">
        <v>0.33800000000000002</v>
      </c>
      <c r="Y89" s="24" t="s">
        <v>38</v>
      </c>
      <c r="Z89" s="23">
        <v>0.318</v>
      </c>
      <c r="AA89" s="23">
        <v>0.313</v>
      </c>
      <c r="AB89" s="23">
        <v>0.31</v>
      </c>
      <c r="AC89" s="24">
        <v>0.35799999999999998</v>
      </c>
      <c r="AD89" s="16">
        <v>0.29199999999999998</v>
      </c>
      <c r="AE89" s="16" t="s">
        <v>38</v>
      </c>
      <c r="AF89" s="16">
        <v>0.20799999999999999</v>
      </c>
      <c r="AG89" s="16">
        <v>0.23200000000000001</v>
      </c>
      <c r="AH89" s="16">
        <v>0.218</v>
      </c>
      <c r="AI89" s="16" t="s">
        <v>38</v>
      </c>
      <c r="AJ89" s="16" t="s">
        <v>38</v>
      </c>
      <c r="AK89" s="16">
        <v>0.20200000000000001</v>
      </c>
      <c r="AL89" s="16" t="s">
        <v>38</v>
      </c>
      <c r="AM89" s="16">
        <v>0.378</v>
      </c>
      <c r="AN89" s="40">
        <v>0.253</v>
      </c>
      <c r="AO89" s="40" t="s">
        <v>38</v>
      </c>
      <c r="AP89" s="40" t="s">
        <v>38</v>
      </c>
      <c r="AQ89" s="40">
        <v>0.25700000000000001</v>
      </c>
      <c r="AR89" s="40" t="s">
        <v>38</v>
      </c>
      <c r="AS89" s="40" t="s">
        <v>38</v>
      </c>
      <c r="AT89" s="40" t="s">
        <v>38</v>
      </c>
      <c r="AU89" s="40">
        <v>0.16200000000000001</v>
      </c>
      <c r="AV89" s="40" t="s">
        <v>38</v>
      </c>
      <c r="AW89" s="40" t="s">
        <v>38</v>
      </c>
      <c r="AX89" s="40" t="s">
        <v>38</v>
      </c>
      <c r="AY89" s="40">
        <v>0.19600000000000001</v>
      </c>
      <c r="AZ89" s="40">
        <v>0.19900000000000001</v>
      </c>
      <c r="BA89" s="40">
        <v>0.215</v>
      </c>
      <c r="BB89" s="49">
        <v>0.16849999999999998</v>
      </c>
      <c r="BC89" s="40">
        <v>0.23849999999999999</v>
      </c>
      <c r="BD89" s="50">
        <v>0.23949999999999999</v>
      </c>
      <c r="BE89" s="19" t="s">
        <v>38</v>
      </c>
      <c r="BF89" s="50">
        <v>0.26400000000000001</v>
      </c>
      <c r="BG89" s="40">
        <v>0.30600000000000005</v>
      </c>
      <c r="BH89" s="23" t="s">
        <v>38</v>
      </c>
      <c r="BI89" s="23" t="s">
        <v>38</v>
      </c>
      <c r="BJ89" s="23" t="s">
        <v>38</v>
      </c>
      <c r="BK89" s="38">
        <v>0.26800000000000002</v>
      </c>
      <c r="BL89" s="23" t="s">
        <v>38</v>
      </c>
      <c r="BM89" s="23" t="s">
        <v>38</v>
      </c>
      <c r="BN89" s="19" t="s">
        <v>38</v>
      </c>
      <c r="BO89" s="19" t="s">
        <v>38</v>
      </c>
      <c r="BP89" s="19" t="s">
        <v>38</v>
      </c>
      <c r="BQ89" s="38">
        <v>0.23799999999999999</v>
      </c>
      <c r="BR89" s="41">
        <v>0.2455</v>
      </c>
      <c r="BS89" s="19" t="s">
        <v>38</v>
      </c>
      <c r="BT89" s="41">
        <v>0.251</v>
      </c>
      <c r="BU89" s="42">
        <v>0.22949999999999998</v>
      </c>
      <c r="BV89" s="41" t="s">
        <v>38</v>
      </c>
      <c r="BW89" s="41" t="s">
        <v>38</v>
      </c>
      <c r="BX89" s="41" t="s">
        <v>38</v>
      </c>
      <c r="BY89" s="85">
        <f>(0.295+0.284)/2</f>
        <v>0.28949999999999998</v>
      </c>
      <c r="BZ89" s="85">
        <f>(0.326+0.302)/2</f>
        <v>0.314</v>
      </c>
      <c r="CA89" s="86">
        <v>0.41249999999999998</v>
      </c>
    </row>
    <row r="90" spans="1:79">
      <c r="A90" s="60" t="s">
        <v>33</v>
      </c>
      <c r="B90" s="82">
        <v>254539.991026</v>
      </c>
      <c r="C90" s="82">
        <v>4505620.2901600003</v>
      </c>
      <c r="D90" s="19" t="s">
        <v>38</v>
      </c>
      <c r="E90" s="19">
        <v>0.3125</v>
      </c>
      <c r="F90" s="19">
        <v>0.32150000000000001</v>
      </c>
      <c r="G90" s="19">
        <v>0.312</v>
      </c>
      <c r="H90" s="19">
        <v>0.30649999999999999</v>
      </c>
      <c r="I90" s="19">
        <v>0.27700000000000002</v>
      </c>
      <c r="J90" s="19">
        <v>0.26500000000000001</v>
      </c>
      <c r="K90" s="19">
        <v>0.2195</v>
      </c>
      <c r="L90" s="19">
        <v>0.22</v>
      </c>
      <c r="M90" s="19">
        <v>0.21</v>
      </c>
      <c r="N90" s="16">
        <v>0.19800000000000001</v>
      </c>
      <c r="O90" s="16">
        <v>0.20949999999999999</v>
      </c>
      <c r="P90" s="16">
        <v>0.1905</v>
      </c>
      <c r="Q90" s="16">
        <v>0.24299999999999999</v>
      </c>
      <c r="R90" s="23" t="s">
        <v>38</v>
      </c>
      <c r="S90" s="23" t="s">
        <v>38</v>
      </c>
      <c r="T90" s="16" t="s">
        <v>38</v>
      </c>
      <c r="U90" s="16" t="s">
        <v>38</v>
      </c>
      <c r="V90" s="16" t="s">
        <v>38</v>
      </c>
      <c r="W90" s="16" t="s">
        <v>38</v>
      </c>
      <c r="X90" s="16" t="s">
        <v>38</v>
      </c>
      <c r="Y90" s="16" t="s">
        <v>38</v>
      </c>
      <c r="Z90" s="16" t="s">
        <v>38</v>
      </c>
      <c r="AA90" s="16" t="s">
        <v>38</v>
      </c>
      <c r="AB90" s="16" t="s">
        <v>38</v>
      </c>
      <c r="AC90" s="16" t="s">
        <v>38</v>
      </c>
      <c r="AD90" s="16" t="s">
        <v>38</v>
      </c>
      <c r="AE90" s="16" t="s">
        <v>38</v>
      </c>
      <c r="AF90" s="16" t="s">
        <v>38</v>
      </c>
      <c r="AG90" s="16" t="s">
        <v>38</v>
      </c>
      <c r="AH90" s="16" t="s">
        <v>38</v>
      </c>
      <c r="AI90" s="16" t="s">
        <v>38</v>
      </c>
      <c r="AJ90" s="16" t="s">
        <v>38</v>
      </c>
      <c r="AK90" s="16" t="s">
        <v>38</v>
      </c>
      <c r="AL90" s="16" t="s">
        <v>38</v>
      </c>
      <c r="AM90" s="16" t="s">
        <v>38</v>
      </c>
      <c r="AN90" s="40">
        <v>0.308</v>
      </c>
      <c r="AO90" s="40" t="s">
        <v>38</v>
      </c>
      <c r="AP90" s="40" t="s">
        <v>38</v>
      </c>
      <c r="AQ90" s="40">
        <v>0.30599999999999999</v>
      </c>
      <c r="AR90" s="40" t="s">
        <v>38</v>
      </c>
      <c r="AS90" s="40" t="s">
        <v>38</v>
      </c>
      <c r="AT90" s="40" t="s">
        <v>38</v>
      </c>
      <c r="AU90" s="40">
        <v>0.24199999999999999</v>
      </c>
      <c r="AV90" s="40" t="s">
        <v>38</v>
      </c>
      <c r="AW90" s="40" t="s">
        <v>38</v>
      </c>
      <c r="AX90" s="40" t="s">
        <v>38</v>
      </c>
      <c r="AY90" s="40">
        <v>0.23200000000000001</v>
      </c>
      <c r="AZ90" s="40">
        <v>0.23599999999999999</v>
      </c>
      <c r="BA90" s="40">
        <v>0.187</v>
      </c>
      <c r="BB90" s="49">
        <v>0.16899999999999998</v>
      </c>
      <c r="BC90" s="40">
        <v>0.2455</v>
      </c>
      <c r="BD90" s="50">
        <v>0.23599999999999999</v>
      </c>
      <c r="BE90" s="19" t="s">
        <v>38</v>
      </c>
      <c r="BF90" s="50">
        <v>0.19800000000000001</v>
      </c>
      <c r="BG90" s="40">
        <v>0.34499999999999997</v>
      </c>
      <c r="BH90" s="23" t="s">
        <v>38</v>
      </c>
      <c r="BI90" s="23" t="s">
        <v>38</v>
      </c>
      <c r="BJ90" s="23" t="s">
        <v>38</v>
      </c>
      <c r="BK90" s="38">
        <v>0.30299999999999999</v>
      </c>
      <c r="BL90" s="23" t="s">
        <v>38</v>
      </c>
      <c r="BM90" s="23" t="s">
        <v>38</v>
      </c>
      <c r="BN90" s="19" t="s">
        <v>38</v>
      </c>
      <c r="BO90" s="19" t="s">
        <v>38</v>
      </c>
      <c r="BP90" s="19" t="s">
        <v>38</v>
      </c>
      <c r="BQ90" s="38">
        <v>0.2445</v>
      </c>
      <c r="BR90" s="41">
        <v>0.2515</v>
      </c>
      <c r="BS90" s="19" t="s">
        <v>38</v>
      </c>
      <c r="BT90" s="41">
        <v>0.23050000000000001</v>
      </c>
      <c r="BU90" s="42">
        <v>0.22500000000000001</v>
      </c>
      <c r="BV90" s="41" t="s">
        <v>38</v>
      </c>
      <c r="BW90" s="41" t="s">
        <v>38</v>
      </c>
      <c r="BX90" s="41" t="s">
        <v>38</v>
      </c>
      <c r="BY90" s="85">
        <f>(0.338+0.344)/2</f>
        <v>0.34099999999999997</v>
      </c>
      <c r="BZ90" s="85">
        <f>(0.309+0.314)/2</f>
        <v>0.3115</v>
      </c>
      <c r="CA90" s="86">
        <v>0.42699999999999999</v>
      </c>
    </row>
    <row r="91" spans="1:79">
      <c r="A91" s="60">
        <v>62</v>
      </c>
      <c r="B91" s="82">
        <v>254529.63870800001</v>
      </c>
      <c r="C91" s="82">
        <v>4505611.6253199996</v>
      </c>
      <c r="D91" s="19" t="s">
        <v>38</v>
      </c>
      <c r="E91" s="19" t="s">
        <v>38</v>
      </c>
      <c r="F91" s="19" t="s">
        <v>38</v>
      </c>
      <c r="G91" s="19" t="s">
        <v>38</v>
      </c>
      <c r="H91" s="19" t="s">
        <v>38</v>
      </c>
      <c r="I91" s="19" t="s">
        <v>38</v>
      </c>
      <c r="J91" s="19" t="s">
        <v>38</v>
      </c>
      <c r="K91" s="19" t="s">
        <v>38</v>
      </c>
      <c r="L91" s="19" t="s">
        <v>38</v>
      </c>
      <c r="M91" s="19" t="s">
        <v>38</v>
      </c>
      <c r="N91" s="23" t="s">
        <v>38</v>
      </c>
      <c r="O91" s="23" t="s">
        <v>38</v>
      </c>
      <c r="P91" s="23" t="s">
        <v>38</v>
      </c>
      <c r="Q91" s="23" t="s">
        <v>38</v>
      </c>
      <c r="R91" s="23" t="s">
        <v>38</v>
      </c>
      <c r="S91" s="23" t="s">
        <v>38</v>
      </c>
      <c r="T91" s="23" t="s">
        <v>38</v>
      </c>
      <c r="U91" s="23" t="s">
        <v>38</v>
      </c>
      <c r="V91" s="23" t="s">
        <v>38</v>
      </c>
      <c r="W91" s="23" t="s">
        <v>38</v>
      </c>
      <c r="X91" s="23" t="s">
        <v>38</v>
      </c>
      <c r="Y91" s="23" t="s">
        <v>38</v>
      </c>
      <c r="Z91" s="23" t="s">
        <v>38</v>
      </c>
      <c r="AA91" s="23" t="s">
        <v>38</v>
      </c>
      <c r="AB91" s="23" t="s">
        <v>38</v>
      </c>
      <c r="AC91" s="23" t="s">
        <v>38</v>
      </c>
      <c r="AD91" s="23" t="s">
        <v>38</v>
      </c>
      <c r="AE91" s="23" t="s">
        <v>38</v>
      </c>
      <c r="AF91" s="23" t="s">
        <v>38</v>
      </c>
      <c r="AG91" s="23" t="s">
        <v>38</v>
      </c>
      <c r="AH91" s="23" t="s">
        <v>38</v>
      </c>
      <c r="AI91" s="23" t="s">
        <v>38</v>
      </c>
      <c r="AJ91" s="23" t="s">
        <v>38</v>
      </c>
      <c r="AK91" s="23" t="s">
        <v>38</v>
      </c>
      <c r="AL91" s="23" t="s">
        <v>38</v>
      </c>
      <c r="AM91" s="23" t="s">
        <v>38</v>
      </c>
      <c r="AN91" s="23" t="s">
        <v>38</v>
      </c>
      <c r="AO91" s="23" t="s">
        <v>38</v>
      </c>
      <c r="AP91" s="23" t="s">
        <v>38</v>
      </c>
      <c r="AQ91" s="23" t="s">
        <v>38</v>
      </c>
      <c r="AR91" s="23" t="s">
        <v>38</v>
      </c>
      <c r="AS91" s="23" t="s">
        <v>38</v>
      </c>
      <c r="AT91" s="23" t="s">
        <v>38</v>
      </c>
      <c r="AU91" s="23" t="s">
        <v>38</v>
      </c>
      <c r="AV91" s="23" t="s">
        <v>38</v>
      </c>
      <c r="AW91" s="23" t="s">
        <v>38</v>
      </c>
      <c r="AX91" s="23" t="s">
        <v>38</v>
      </c>
      <c r="AY91" s="23" t="s">
        <v>38</v>
      </c>
      <c r="AZ91" s="23" t="s">
        <v>38</v>
      </c>
      <c r="BA91" s="23" t="s">
        <v>38</v>
      </c>
      <c r="BB91" s="23" t="s">
        <v>38</v>
      </c>
      <c r="BC91" s="23" t="s">
        <v>38</v>
      </c>
      <c r="BD91" s="23" t="s">
        <v>38</v>
      </c>
      <c r="BE91" s="23" t="s">
        <v>38</v>
      </c>
      <c r="BF91" s="23" t="s">
        <v>38</v>
      </c>
      <c r="BG91" s="23" t="s">
        <v>38</v>
      </c>
      <c r="BH91" s="23" t="s">
        <v>38</v>
      </c>
      <c r="BI91" s="23" t="s">
        <v>38</v>
      </c>
      <c r="BJ91" s="23" t="s">
        <v>38</v>
      </c>
      <c r="BK91" s="23" t="s">
        <v>38</v>
      </c>
      <c r="BL91" s="23" t="s">
        <v>38</v>
      </c>
      <c r="BM91" s="23" t="s">
        <v>38</v>
      </c>
      <c r="BN91" s="19" t="s">
        <v>38</v>
      </c>
      <c r="BO91" s="19" t="s">
        <v>38</v>
      </c>
      <c r="BP91" s="19" t="s">
        <v>38</v>
      </c>
      <c r="BQ91" s="19" t="s">
        <v>38</v>
      </c>
      <c r="BR91" s="19" t="s">
        <v>38</v>
      </c>
      <c r="BS91" s="19" t="s">
        <v>38</v>
      </c>
      <c r="BT91" s="19" t="s">
        <v>38</v>
      </c>
      <c r="BU91" s="19" t="s">
        <v>38</v>
      </c>
      <c r="BV91" s="19" t="s">
        <v>38</v>
      </c>
      <c r="BW91" s="19" t="s">
        <v>38</v>
      </c>
      <c r="BX91" s="19" t="s">
        <v>38</v>
      </c>
      <c r="BY91" s="69" t="s">
        <v>38</v>
      </c>
      <c r="BZ91" s="69" t="s">
        <v>38</v>
      </c>
      <c r="CA91" s="86" t="s">
        <v>38</v>
      </c>
    </row>
    <row r="92" spans="1:79">
      <c r="A92" s="60">
        <v>63</v>
      </c>
      <c r="B92" s="82">
        <v>254551.13957</v>
      </c>
      <c r="C92" s="82">
        <v>4505625.0883400002</v>
      </c>
      <c r="D92" s="19" t="s">
        <v>38</v>
      </c>
      <c r="E92" s="19" t="s">
        <v>38</v>
      </c>
      <c r="F92" s="19" t="s">
        <v>38</v>
      </c>
      <c r="G92" s="19" t="s">
        <v>38</v>
      </c>
      <c r="H92" s="19" t="s">
        <v>38</v>
      </c>
      <c r="I92" s="19" t="s">
        <v>38</v>
      </c>
      <c r="J92" s="19" t="s">
        <v>38</v>
      </c>
      <c r="K92" s="19" t="s">
        <v>38</v>
      </c>
      <c r="L92" s="19" t="s">
        <v>38</v>
      </c>
      <c r="M92" s="19" t="s">
        <v>38</v>
      </c>
      <c r="N92" s="23" t="s">
        <v>38</v>
      </c>
      <c r="O92" s="23" t="s">
        <v>38</v>
      </c>
      <c r="P92" s="23" t="s">
        <v>38</v>
      </c>
      <c r="Q92" s="23" t="s">
        <v>38</v>
      </c>
      <c r="R92" s="23" t="s">
        <v>38</v>
      </c>
      <c r="S92" s="23" t="s">
        <v>38</v>
      </c>
      <c r="T92" s="23" t="s">
        <v>38</v>
      </c>
      <c r="U92" s="23" t="s">
        <v>38</v>
      </c>
      <c r="V92" s="23" t="s">
        <v>38</v>
      </c>
      <c r="W92" s="23" t="s">
        <v>38</v>
      </c>
      <c r="X92" s="23" t="s">
        <v>38</v>
      </c>
      <c r="Y92" s="23" t="s">
        <v>38</v>
      </c>
      <c r="Z92" s="23" t="s">
        <v>38</v>
      </c>
      <c r="AA92" s="23" t="s">
        <v>38</v>
      </c>
      <c r="AB92" s="23" t="s">
        <v>38</v>
      </c>
      <c r="AC92" s="23" t="s">
        <v>38</v>
      </c>
      <c r="AD92" s="23" t="s">
        <v>38</v>
      </c>
      <c r="AE92" s="23" t="s">
        <v>38</v>
      </c>
      <c r="AF92" s="23" t="s">
        <v>38</v>
      </c>
      <c r="AG92" s="23" t="s">
        <v>38</v>
      </c>
      <c r="AH92" s="23" t="s">
        <v>38</v>
      </c>
      <c r="AI92" s="23" t="s">
        <v>38</v>
      </c>
      <c r="AJ92" s="23" t="s">
        <v>38</v>
      </c>
      <c r="AK92" s="23" t="s">
        <v>38</v>
      </c>
      <c r="AL92" s="23" t="s">
        <v>38</v>
      </c>
      <c r="AM92" s="23" t="s">
        <v>38</v>
      </c>
      <c r="AN92" s="23" t="s">
        <v>38</v>
      </c>
      <c r="AO92" s="23" t="s">
        <v>38</v>
      </c>
      <c r="AP92" s="23" t="s">
        <v>38</v>
      </c>
      <c r="AQ92" s="23" t="s">
        <v>38</v>
      </c>
      <c r="AR92" s="23" t="s">
        <v>38</v>
      </c>
      <c r="AS92" s="23" t="s">
        <v>38</v>
      </c>
      <c r="AT92" s="23" t="s">
        <v>38</v>
      </c>
      <c r="AU92" s="23" t="s">
        <v>38</v>
      </c>
      <c r="AV92" s="23" t="s">
        <v>38</v>
      </c>
      <c r="AW92" s="23" t="s">
        <v>38</v>
      </c>
      <c r="AX92" s="23" t="s">
        <v>38</v>
      </c>
      <c r="AY92" s="23" t="s">
        <v>38</v>
      </c>
      <c r="AZ92" s="23" t="s">
        <v>38</v>
      </c>
      <c r="BA92" s="23" t="s">
        <v>38</v>
      </c>
      <c r="BB92" s="23" t="s">
        <v>38</v>
      </c>
      <c r="BC92" s="23" t="s">
        <v>38</v>
      </c>
      <c r="BD92" s="23" t="s">
        <v>38</v>
      </c>
      <c r="BE92" s="23" t="s">
        <v>38</v>
      </c>
      <c r="BF92" s="23" t="s">
        <v>38</v>
      </c>
      <c r="BG92" s="23" t="s">
        <v>38</v>
      </c>
      <c r="BH92" s="23" t="s">
        <v>38</v>
      </c>
      <c r="BI92" s="23" t="s">
        <v>38</v>
      </c>
      <c r="BJ92" s="23" t="s">
        <v>38</v>
      </c>
      <c r="BK92" s="23" t="s">
        <v>38</v>
      </c>
      <c r="BL92" s="23" t="s">
        <v>38</v>
      </c>
      <c r="BM92" s="23" t="s">
        <v>38</v>
      </c>
      <c r="BN92" s="19" t="s">
        <v>38</v>
      </c>
      <c r="BO92" s="19" t="s">
        <v>38</v>
      </c>
      <c r="BP92" s="19" t="s">
        <v>38</v>
      </c>
      <c r="BQ92" s="19" t="s">
        <v>38</v>
      </c>
      <c r="BR92" s="19" t="s">
        <v>38</v>
      </c>
      <c r="BS92" s="19" t="s">
        <v>38</v>
      </c>
      <c r="BT92" s="19" t="s">
        <v>38</v>
      </c>
      <c r="BU92" s="19" t="s">
        <v>38</v>
      </c>
      <c r="BV92" s="19" t="s">
        <v>38</v>
      </c>
      <c r="BW92" s="19" t="s">
        <v>38</v>
      </c>
      <c r="BX92" s="19" t="s">
        <v>38</v>
      </c>
      <c r="BY92" s="69" t="s">
        <v>38</v>
      </c>
      <c r="BZ92" s="69" t="s">
        <v>38</v>
      </c>
      <c r="CA92" s="86" t="s">
        <v>38</v>
      </c>
    </row>
    <row r="93" spans="1:79">
      <c r="A93" s="60">
        <v>64</v>
      </c>
      <c r="B93" s="82">
        <v>254546.275371</v>
      </c>
      <c r="C93" s="82">
        <v>4505618.8425099999</v>
      </c>
      <c r="D93" s="19" t="s">
        <v>38</v>
      </c>
      <c r="E93" s="19" t="s">
        <v>38</v>
      </c>
      <c r="F93" s="19" t="s">
        <v>38</v>
      </c>
      <c r="G93" s="19" t="s">
        <v>38</v>
      </c>
      <c r="H93" s="19" t="s">
        <v>38</v>
      </c>
      <c r="I93" s="19" t="s">
        <v>38</v>
      </c>
      <c r="J93" s="19" t="s">
        <v>38</v>
      </c>
      <c r="K93" s="19" t="s">
        <v>38</v>
      </c>
      <c r="L93" s="19" t="s">
        <v>38</v>
      </c>
      <c r="M93" s="19" t="s">
        <v>38</v>
      </c>
      <c r="N93" s="23" t="s">
        <v>38</v>
      </c>
      <c r="O93" s="23" t="s">
        <v>38</v>
      </c>
      <c r="P93" s="23" t="s">
        <v>38</v>
      </c>
      <c r="Q93" s="23" t="s">
        <v>38</v>
      </c>
      <c r="R93" s="23" t="s">
        <v>38</v>
      </c>
      <c r="S93" s="23" t="s">
        <v>38</v>
      </c>
      <c r="T93" s="23">
        <v>0.34100000000000003</v>
      </c>
      <c r="U93" s="23">
        <v>0.33900000000000002</v>
      </c>
      <c r="V93" s="23">
        <v>0.34599999999999997</v>
      </c>
      <c r="W93" s="23">
        <v>0.45300000000000001</v>
      </c>
      <c r="X93" s="23">
        <v>0.33500000000000002</v>
      </c>
      <c r="Y93" s="24" t="s">
        <v>38</v>
      </c>
      <c r="Z93" s="23">
        <v>0.33900000000000002</v>
      </c>
      <c r="AA93" s="23">
        <v>0.33900000000000002</v>
      </c>
      <c r="AB93" s="23">
        <v>0.33</v>
      </c>
      <c r="AC93" s="24">
        <v>0.35899999999999999</v>
      </c>
      <c r="AD93" s="16">
        <v>0.39500000000000002</v>
      </c>
      <c r="AE93" s="16" t="s">
        <v>38</v>
      </c>
      <c r="AF93" s="16">
        <v>0.26100000000000001</v>
      </c>
      <c r="AG93" s="16">
        <v>0.253</v>
      </c>
      <c r="AH93" s="16">
        <v>0.24399999999999999</v>
      </c>
      <c r="AI93" s="16" t="s">
        <v>38</v>
      </c>
      <c r="AJ93" s="16" t="s">
        <v>38</v>
      </c>
      <c r="AK93" s="16">
        <v>0.23499999999999999</v>
      </c>
      <c r="AL93" s="16" t="s">
        <v>38</v>
      </c>
      <c r="AM93" s="16">
        <v>0.42099999999999999</v>
      </c>
      <c r="AN93" s="23" t="s">
        <v>38</v>
      </c>
      <c r="AO93" s="23" t="s">
        <v>38</v>
      </c>
      <c r="AP93" s="23" t="s">
        <v>38</v>
      </c>
      <c r="AQ93" s="23" t="s">
        <v>38</v>
      </c>
      <c r="AR93" s="23" t="s">
        <v>38</v>
      </c>
      <c r="AS93" s="23" t="s">
        <v>38</v>
      </c>
      <c r="AT93" s="23" t="s">
        <v>38</v>
      </c>
      <c r="AU93" s="23" t="s">
        <v>38</v>
      </c>
      <c r="AV93" s="23" t="s">
        <v>38</v>
      </c>
      <c r="AW93" s="23" t="s">
        <v>38</v>
      </c>
      <c r="AX93" s="23" t="s">
        <v>38</v>
      </c>
      <c r="AY93" s="23" t="s">
        <v>38</v>
      </c>
      <c r="AZ93" s="23" t="s">
        <v>38</v>
      </c>
      <c r="BA93" s="23" t="s">
        <v>38</v>
      </c>
      <c r="BB93" s="23" t="s">
        <v>38</v>
      </c>
      <c r="BC93" s="23" t="s">
        <v>38</v>
      </c>
      <c r="BD93" s="23" t="s">
        <v>38</v>
      </c>
      <c r="BE93" s="23" t="s">
        <v>38</v>
      </c>
      <c r="BF93" s="23" t="s">
        <v>38</v>
      </c>
      <c r="BG93" s="23" t="s">
        <v>38</v>
      </c>
      <c r="BH93" s="23" t="s">
        <v>38</v>
      </c>
      <c r="BI93" s="23" t="s">
        <v>38</v>
      </c>
      <c r="BJ93" s="23" t="s">
        <v>38</v>
      </c>
      <c r="BK93" s="23" t="s">
        <v>38</v>
      </c>
      <c r="BL93" s="23" t="s">
        <v>38</v>
      </c>
      <c r="BM93" s="23" t="s">
        <v>38</v>
      </c>
      <c r="BN93" s="19" t="s">
        <v>38</v>
      </c>
      <c r="BO93" s="19" t="s">
        <v>38</v>
      </c>
      <c r="BP93" s="19" t="s">
        <v>38</v>
      </c>
      <c r="BQ93" s="19" t="s">
        <v>38</v>
      </c>
      <c r="BR93" s="19" t="s">
        <v>38</v>
      </c>
      <c r="BS93" s="19" t="s">
        <v>38</v>
      </c>
      <c r="BT93" s="19" t="s">
        <v>38</v>
      </c>
      <c r="BU93" s="19" t="s">
        <v>38</v>
      </c>
      <c r="BV93" s="19" t="s">
        <v>38</v>
      </c>
      <c r="BW93" s="19" t="s">
        <v>38</v>
      </c>
      <c r="BX93" s="19" t="s">
        <v>38</v>
      </c>
      <c r="BY93" s="69" t="s">
        <v>38</v>
      </c>
      <c r="BZ93" s="69" t="s">
        <v>38</v>
      </c>
      <c r="CA93" s="86" t="s">
        <v>38</v>
      </c>
    </row>
    <row r="94" spans="1:79">
      <c r="A94" s="60">
        <v>65</v>
      </c>
      <c r="B94" s="82">
        <v>254565.06507300001</v>
      </c>
      <c r="C94" s="82">
        <v>4505658.6095899995</v>
      </c>
      <c r="D94" s="19">
        <v>0.26950000000000002</v>
      </c>
      <c r="E94" s="19">
        <v>0.23050000000000001</v>
      </c>
      <c r="F94" s="19">
        <v>0.253</v>
      </c>
      <c r="G94" s="19">
        <v>0.24149999999999999</v>
      </c>
      <c r="H94" s="19">
        <v>0.23649999999999999</v>
      </c>
      <c r="I94" s="19">
        <v>0.2145</v>
      </c>
      <c r="J94" s="19">
        <v>0.19850000000000001</v>
      </c>
      <c r="K94" s="19">
        <v>0.17449999999999999</v>
      </c>
      <c r="L94" s="19">
        <v>0.17649999999999999</v>
      </c>
      <c r="M94" s="19">
        <v>0.156</v>
      </c>
      <c r="N94" s="16">
        <v>0.18099999999999999</v>
      </c>
      <c r="O94" s="16">
        <v>0.14549999999999999</v>
      </c>
      <c r="P94" s="16">
        <v>0.14699999999999999</v>
      </c>
      <c r="Q94" s="16">
        <v>0.19450000000000001</v>
      </c>
      <c r="R94" s="16">
        <v>0.19700000000000001</v>
      </c>
      <c r="S94" s="16">
        <v>0.19600000000000001</v>
      </c>
      <c r="T94" s="16" t="s">
        <v>38</v>
      </c>
      <c r="U94" s="16" t="s">
        <v>38</v>
      </c>
      <c r="V94" s="16" t="s">
        <v>38</v>
      </c>
      <c r="W94" s="16" t="s">
        <v>38</v>
      </c>
      <c r="X94" s="16" t="s">
        <v>38</v>
      </c>
      <c r="Y94" s="16" t="s">
        <v>38</v>
      </c>
      <c r="Z94" s="16" t="s">
        <v>38</v>
      </c>
      <c r="AA94" s="16" t="s">
        <v>38</v>
      </c>
      <c r="AB94" s="16" t="s">
        <v>38</v>
      </c>
      <c r="AC94" s="16" t="s">
        <v>38</v>
      </c>
      <c r="AD94" s="16" t="s">
        <v>38</v>
      </c>
      <c r="AE94" s="16" t="s">
        <v>38</v>
      </c>
      <c r="AF94" s="16" t="s">
        <v>38</v>
      </c>
      <c r="AG94" s="16" t="s">
        <v>38</v>
      </c>
      <c r="AH94" s="16" t="s">
        <v>38</v>
      </c>
      <c r="AI94" s="16" t="s">
        <v>38</v>
      </c>
      <c r="AJ94" s="16" t="s">
        <v>38</v>
      </c>
      <c r="AK94" s="16" t="s">
        <v>38</v>
      </c>
      <c r="AL94" s="16" t="s">
        <v>38</v>
      </c>
      <c r="AM94" s="16" t="s">
        <v>38</v>
      </c>
      <c r="AN94" s="40">
        <v>0.253</v>
      </c>
      <c r="AO94" s="40">
        <v>0.20499999999999999</v>
      </c>
      <c r="AP94" s="40">
        <v>0.23</v>
      </c>
      <c r="AQ94" s="40">
        <v>0.24099999999999999</v>
      </c>
      <c r="AR94" s="40">
        <v>0.223</v>
      </c>
      <c r="AS94" s="40">
        <v>0.218</v>
      </c>
      <c r="AT94" s="40">
        <v>0.22500000000000001</v>
      </c>
      <c r="AU94" s="40">
        <v>0.216</v>
      </c>
      <c r="AV94" s="40">
        <v>0.20100000000000001</v>
      </c>
      <c r="AW94" s="40">
        <v>0.186</v>
      </c>
      <c r="AX94" s="40">
        <v>0.16700000000000001</v>
      </c>
      <c r="AY94" s="40">
        <v>0.25</v>
      </c>
      <c r="AZ94" s="40">
        <v>0.22700000000000001</v>
      </c>
      <c r="BA94" s="40">
        <v>0.23599999999999999</v>
      </c>
      <c r="BB94" s="49">
        <v>0.1605</v>
      </c>
      <c r="BC94" s="40">
        <v>0.20749999999999999</v>
      </c>
      <c r="BD94" s="50">
        <v>0.22450000000000001</v>
      </c>
      <c r="BE94" s="23" t="s">
        <v>38</v>
      </c>
      <c r="BF94" s="23" t="s">
        <v>38</v>
      </c>
      <c r="BG94" s="40">
        <v>0.25850000000000001</v>
      </c>
      <c r="BH94" s="38">
        <v>0.216</v>
      </c>
      <c r="BI94" s="38">
        <v>0.23849999999999999</v>
      </c>
      <c r="BJ94" s="38">
        <v>0.26550000000000001</v>
      </c>
      <c r="BK94" s="38">
        <v>0.24299999999999999</v>
      </c>
      <c r="BL94" s="38">
        <v>0.23749999999999999</v>
      </c>
      <c r="BM94" s="38">
        <v>0.23649999999999999</v>
      </c>
      <c r="BN94" s="39" t="s">
        <v>38</v>
      </c>
      <c r="BO94" s="40">
        <v>0.249</v>
      </c>
      <c r="BP94" s="38">
        <v>0.23949999999999999</v>
      </c>
      <c r="BQ94" s="38">
        <v>0.19750000000000001</v>
      </c>
      <c r="BR94" s="41">
        <v>0.21149999999999999</v>
      </c>
      <c r="BS94" s="19" t="s">
        <v>38</v>
      </c>
      <c r="BT94" s="41">
        <v>0.20650000000000002</v>
      </c>
      <c r="BU94" s="42">
        <v>0.20200000000000001</v>
      </c>
      <c r="BV94" s="41">
        <v>0.1875</v>
      </c>
      <c r="BW94" s="42">
        <v>0.19750000000000001</v>
      </c>
      <c r="BX94" s="42" t="s">
        <v>38</v>
      </c>
      <c r="BY94" s="85">
        <f>(0.279+0.281)/2</f>
        <v>0.28000000000000003</v>
      </c>
      <c r="BZ94" s="85">
        <f>(0.336+0.372)/2</f>
        <v>0.35399999999999998</v>
      </c>
      <c r="CA94" s="86">
        <v>0.27750000000000002</v>
      </c>
    </row>
    <row r="95" spans="1:79">
      <c r="A95" s="60">
        <v>66</v>
      </c>
      <c r="B95" s="82">
        <v>254555.697189</v>
      </c>
      <c r="C95" s="82">
        <v>4505682.2836199999</v>
      </c>
      <c r="D95" s="19" t="s">
        <v>38</v>
      </c>
      <c r="E95" s="19" t="s">
        <v>38</v>
      </c>
      <c r="F95" s="19" t="s">
        <v>38</v>
      </c>
      <c r="G95" s="19" t="s">
        <v>38</v>
      </c>
      <c r="H95" s="19" t="s">
        <v>38</v>
      </c>
      <c r="I95" s="19" t="s">
        <v>38</v>
      </c>
      <c r="J95" s="19" t="s">
        <v>38</v>
      </c>
      <c r="K95" s="19" t="s">
        <v>38</v>
      </c>
      <c r="L95" s="19" t="s">
        <v>38</v>
      </c>
      <c r="M95" s="19" t="s">
        <v>38</v>
      </c>
      <c r="N95" s="23" t="s">
        <v>38</v>
      </c>
      <c r="O95" s="23" t="s">
        <v>38</v>
      </c>
      <c r="P95" s="23" t="s">
        <v>38</v>
      </c>
      <c r="Q95" s="23" t="s">
        <v>38</v>
      </c>
      <c r="R95" s="23" t="s">
        <v>38</v>
      </c>
      <c r="S95" s="23" t="s">
        <v>38</v>
      </c>
      <c r="T95" s="23">
        <v>0.248</v>
      </c>
      <c r="U95" s="23">
        <v>0.23499999999999999</v>
      </c>
      <c r="V95" s="23">
        <v>0.27800000000000002</v>
      </c>
      <c r="W95" s="23">
        <v>0.28799999999999998</v>
      </c>
      <c r="X95" s="23">
        <v>0.26700000000000002</v>
      </c>
      <c r="Y95" s="24">
        <v>0.245</v>
      </c>
      <c r="Z95" s="23">
        <v>0.26800000000000002</v>
      </c>
      <c r="AA95" s="23">
        <v>0.26700000000000002</v>
      </c>
      <c r="AB95" s="23">
        <v>0.26700000000000002</v>
      </c>
      <c r="AC95" s="24">
        <v>0.255</v>
      </c>
      <c r="AD95" s="16">
        <v>0.23200000000000001</v>
      </c>
      <c r="AE95" s="16">
        <v>0.23799999999999999</v>
      </c>
      <c r="AF95" s="16">
        <v>0.20599999999999999</v>
      </c>
      <c r="AG95" s="16">
        <v>0.20699999999999999</v>
      </c>
      <c r="AH95" s="16">
        <v>0.17499999999999999</v>
      </c>
      <c r="AI95" s="16">
        <v>0.22</v>
      </c>
      <c r="AJ95" s="16">
        <v>0.19900000000000001</v>
      </c>
      <c r="AK95" s="16">
        <v>0.17599999999999999</v>
      </c>
      <c r="AL95" s="16">
        <v>0.23300000000000001</v>
      </c>
      <c r="AM95" s="16">
        <v>0.30199999999999999</v>
      </c>
      <c r="AN95" s="40" t="s">
        <v>38</v>
      </c>
      <c r="AO95" s="40" t="s">
        <v>38</v>
      </c>
      <c r="AP95" s="40" t="s">
        <v>38</v>
      </c>
      <c r="AQ95" s="40" t="s">
        <v>38</v>
      </c>
      <c r="AR95" s="40" t="s">
        <v>38</v>
      </c>
      <c r="AS95" s="40" t="s">
        <v>38</v>
      </c>
      <c r="AT95" s="40" t="s">
        <v>38</v>
      </c>
      <c r="AU95" s="40" t="s">
        <v>38</v>
      </c>
      <c r="AV95" s="40" t="s">
        <v>38</v>
      </c>
      <c r="AW95" s="40" t="s">
        <v>38</v>
      </c>
      <c r="AX95" s="40" t="s">
        <v>38</v>
      </c>
      <c r="AY95" s="40" t="s">
        <v>38</v>
      </c>
      <c r="AZ95" s="40" t="s">
        <v>38</v>
      </c>
      <c r="BA95" s="40" t="s">
        <v>38</v>
      </c>
      <c r="BB95" s="40" t="s">
        <v>38</v>
      </c>
      <c r="BC95" s="40" t="s">
        <v>38</v>
      </c>
      <c r="BD95" s="40" t="s">
        <v>38</v>
      </c>
      <c r="BE95" s="40" t="s">
        <v>38</v>
      </c>
      <c r="BF95" s="40" t="s">
        <v>38</v>
      </c>
      <c r="BG95" s="40" t="s">
        <v>38</v>
      </c>
      <c r="BH95" s="40" t="s">
        <v>38</v>
      </c>
      <c r="BI95" s="40" t="s">
        <v>38</v>
      </c>
      <c r="BJ95" s="40" t="s">
        <v>38</v>
      </c>
      <c r="BK95" s="40" t="s">
        <v>38</v>
      </c>
      <c r="BL95" s="40" t="s">
        <v>38</v>
      </c>
      <c r="BM95" s="40" t="s">
        <v>38</v>
      </c>
      <c r="BN95" s="40" t="s">
        <v>38</v>
      </c>
      <c r="BO95" s="40" t="s">
        <v>38</v>
      </c>
      <c r="BP95" s="40" t="s">
        <v>38</v>
      </c>
      <c r="BQ95" s="40" t="s">
        <v>38</v>
      </c>
      <c r="BR95" s="40" t="s">
        <v>38</v>
      </c>
      <c r="BS95" s="40" t="s">
        <v>38</v>
      </c>
      <c r="BT95" s="40" t="s">
        <v>38</v>
      </c>
      <c r="BU95" s="40" t="s">
        <v>38</v>
      </c>
      <c r="BV95" s="40" t="s">
        <v>38</v>
      </c>
      <c r="BW95" s="40" t="s">
        <v>38</v>
      </c>
      <c r="BX95" s="40" t="s">
        <v>38</v>
      </c>
      <c r="BY95" s="69" t="s">
        <v>38</v>
      </c>
      <c r="BZ95" s="69" t="s">
        <v>38</v>
      </c>
      <c r="CA95" s="86" t="s">
        <v>38</v>
      </c>
    </row>
    <row r="96" spans="1:79">
      <c r="A96" s="60">
        <v>67</v>
      </c>
      <c r="B96" s="82">
        <v>254555.67023700001</v>
      </c>
      <c r="C96" s="82">
        <v>4505716.0668700002</v>
      </c>
      <c r="D96" s="19" t="s">
        <v>38</v>
      </c>
      <c r="E96" s="19" t="s">
        <v>38</v>
      </c>
      <c r="F96" s="19" t="s">
        <v>38</v>
      </c>
      <c r="G96" s="19" t="s">
        <v>38</v>
      </c>
      <c r="H96" s="19" t="s">
        <v>38</v>
      </c>
      <c r="I96" s="19" t="s">
        <v>38</v>
      </c>
      <c r="J96" s="19" t="s">
        <v>38</v>
      </c>
      <c r="K96" s="19" t="s">
        <v>38</v>
      </c>
      <c r="L96" s="19" t="s">
        <v>38</v>
      </c>
      <c r="M96" s="19" t="s">
        <v>38</v>
      </c>
      <c r="N96" s="23" t="s">
        <v>38</v>
      </c>
      <c r="O96" s="23" t="s">
        <v>38</v>
      </c>
      <c r="P96" s="23" t="s">
        <v>38</v>
      </c>
      <c r="Q96" s="23" t="s">
        <v>38</v>
      </c>
      <c r="R96" s="23" t="s">
        <v>38</v>
      </c>
      <c r="S96" s="23" t="s">
        <v>38</v>
      </c>
      <c r="T96" s="19" t="s">
        <v>38</v>
      </c>
      <c r="U96" s="19" t="s">
        <v>38</v>
      </c>
      <c r="V96" s="19" t="s">
        <v>38</v>
      </c>
      <c r="W96" s="19" t="s">
        <v>38</v>
      </c>
      <c r="X96" s="19" t="s">
        <v>38</v>
      </c>
      <c r="Y96" s="19" t="s">
        <v>38</v>
      </c>
      <c r="Z96" s="19" t="s">
        <v>38</v>
      </c>
      <c r="AA96" s="19" t="s">
        <v>38</v>
      </c>
      <c r="AB96" s="19" t="s">
        <v>38</v>
      </c>
      <c r="AC96" s="19" t="s">
        <v>38</v>
      </c>
      <c r="AD96" s="19" t="s">
        <v>38</v>
      </c>
      <c r="AE96" s="19" t="s">
        <v>38</v>
      </c>
      <c r="AF96" s="19" t="s">
        <v>38</v>
      </c>
      <c r="AG96" s="19" t="s">
        <v>38</v>
      </c>
      <c r="AH96" s="19" t="s">
        <v>38</v>
      </c>
      <c r="AI96" s="19" t="s">
        <v>38</v>
      </c>
      <c r="AJ96" s="19" t="s">
        <v>38</v>
      </c>
      <c r="AK96" s="19" t="s">
        <v>38</v>
      </c>
      <c r="AL96" s="19" t="s">
        <v>38</v>
      </c>
      <c r="AM96" s="19" t="s">
        <v>38</v>
      </c>
      <c r="AN96" s="40" t="s">
        <v>38</v>
      </c>
      <c r="AO96" s="40" t="s">
        <v>38</v>
      </c>
      <c r="AP96" s="40" t="s">
        <v>38</v>
      </c>
      <c r="AQ96" s="40" t="s">
        <v>38</v>
      </c>
      <c r="AR96" s="40" t="s">
        <v>38</v>
      </c>
      <c r="AS96" s="40" t="s">
        <v>38</v>
      </c>
      <c r="AT96" s="40" t="s">
        <v>38</v>
      </c>
      <c r="AU96" s="40" t="s">
        <v>38</v>
      </c>
      <c r="AV96" s="40" t="s">
        <v>38</v>
      </c>
      <c r="AW96" s="40" t="s">
        <v>38</v>
      </c>
      <c r="AX96" s="40" t="s">
        <v>38</v>
      </c>
      <c r="AY96" s="40" t="s">
        <v>38</v>
      </c>
      <c r="AZ96" s="40" t="s">
        <v>38</v>
      </c>
      <c r="BA96" s="40" t="s">
        <v>38</v>
      </c>
      <c r="BB96" s="40" t="s">
        <v>38</v>
      </c>
      <c r="BC96" s="40" t="s">
        <v>38</v>
      </c>
      <c r="BD96" s="40" t="s">
        <v>38</v>
      </c>
      <c r="BE96" s="40" t="s">
        <v>38</v>
      </c>
      <c r="BF96" s="40" t="s">
        <v>38</v>
      </c>
      <c r="BG96" s="40" t="s">
        <v>38</v>
      </c>
      <c r="BH96" s="40" t="s">
        <v>38</v>
      </c>
      <c r="BI96" s="40" t="s">
        <v>38</v>
      </c>
      <c r="BJ96" s="40" t="s">
        <v>38</v>
      </c>
      <c r="BK96" s="40" t="s">
        <v>38</v>
      </c>
      <c r="BL96" s="40" t="s">
        <v>38</v>
      </c>
      <c r="BM96" s="40" t="s">
        <v>38</v>
      </c>
      <c r="BN96" s="40" t="s">
        <v>38</v>
      </c>
      <c r="BO96" s="40" t="s">
        <v>38</v>
      </c>
      <c r="BP96" s="40" t="s">
        <v>38</v>
      </c>
      <c r="BQ96" s="40" t="s">
        <v>38</v>
      </c>
      <c r="BR96" s="40" t="s">
        <v>38</v>
      </c>
      <c r="BS96" s="40" t="s">
        <v>38</v>
      </c>
      <c r="BT96" s="40" t="s">
        <v>38</v>
      </c>
      <c r="BU96" s="40" t="s">
        <v>38</v>
      </c>
      <c r="BV96" s="40" t="s">
        <v>38</v>
      </c>
      <c r="BW96" s="40" t="s">
        <v>38</v>
      </c>
      <c r="BX96" s="40" t="s">
        <v>38</v>
      </c>
      <c r="BY96" s="85" t="s">
        <v>38</v>
      </c>
      <c r="BZ96" s="85" t="s">
        <v>38</v>
      </c>
      <c r="CA96" s="86" t="s">
        <v>38</v>
      </c>
    </row>
    <row r="97" spans="1:79">
      <c r="A97" s="60">
        <v>68</v>
      </c>
      <c r="B97" s="82">
        <v>254550.90865100001</v>
      </c>
      <c r="C97" s="82">
        <v>4505648.5313400002</v>
      </c>
      <c r="D97" s="19" t="s">
        <v>38</v>
      </c>
      <c r="E97" s="19">
        <v>0.20300000000000001</v>
      </c>
      <c r="F97" s="19" t="s">
        <v>38</v>
      </c>
      <c r="G97" s="19" t="s">
        <v>38</v>
      </c>
      <c r="H97" s="19">
        <v>0.20699999999999999</v>
      </c>
      <c r="I97" s="19" t="s">
        <v>38</v>
      </c>
      <c r="J97" s="19" t="s">
        <v>38</v>
      </c>
      <c r="K97" s="19" t="s">
        <v>38</v>
      </c>
      <c r="L97" s="19" t="s">
        <v>38</v>
      </c>
      <c r="M97" s="19" t="s">
        <v>38</v>
      </c>
      <c r="N97" s="23" t="s">
        <v>38</v>
      </c>
      <c r="O97" s="23" t="s">
        <v>38</v>
      </c>
      <c r="P97" s="23" t="s">
        <v>38</v>
      </c>
      <c r="Q97" s="23" t="s">
        <v>38</v>
      </c>
      <c r="R97" s="23" t="s">
        <v>38</v>
      </c>
      <c r="S97" s="23" t="s">
        <v>38</v>
      </c>
      <c r="T97" s="19" t="s">
        <v>38</v>
      </c>
      <c r="U97" s="19" t="s">
        <v>38</v>
      </c>
      <c r="V97" s="19" t="s">
        <v>38</v>
      </c>
      <c r="W97" s="19" t="s">
        <v>38</v>
      </c>
      <c r="X97" s="19" t="s">
        <v>38</v>
      </c>
      <c r="Y97" s="19" t="s">
        <v>38</v>
      </c>
      <c r="Z97" s="19" t="s">
        <v>38</v>
      </c>
      <c r="AA97" s="19" t="s">
        <v>38</v>
      </c>
      <c r="AB97" s="19" t="s">
        <v>38</v>
      </c>
      <c r="AC97" s="19" t="s">
        <v>38</v>
      </c>
      <c r="AD97" s="19" t="s">
        <v>38</v>
      </c>
      <c r="AE97" s="19" t="s">
        <v>38</v>
      </c>
      <c r="AF97" s="19" t="s">
        <v>38</v>
      </c>
      <c r="AG97" s="19" t="s">
        <v>38</v>
      </c>
      <c r="AH97" s="19" t="s">
        <v>38</v>
      </c>
      <c r="AI97" s="19" t="s">
        <v>38</v>
      </c>
      <c r="AJ97" s="19" t="s">
        <v>38</v>
      </c>
      <c r="AK97" s="19" t="s">
        <v>38</v>
      </c>
      <c r="AL97" s="19" t="s">
        <v>38</v>
      </c>
      <c r="AM97" s="19" t="s">
        <v>38</v>
      </c>
      <c r="AN97" s="40" t="s">
        <v>38</v>
      </c>
      <c r="AO97" s="40" t="s">
        <v>38</v>
      </c>
      <c r="AP97" s="40" t="s">
        <v>38</v>
      </c>
      <c r="AQ97" s="40" t="s">
        <v>38</v>
      </c>
      <c r="AR97" s="40" t="s">
        <v>38</v>
      </c>
      <c r="AS97" s="40" t="s">
        <v>38</v>
      </c>
      <c r="AT97" s="40" t="s">
        <v>38</v>
      </c>
      <c r="AU97" s="40" t="s">
        <v>38</v>
      </c>
      <c r="AV97" s="40" t="s">
        <v>38</v>
      </c>
      <c r="AW97" s="40" t="s">
        <v>38</v>
      </c>
      <c r="AX97" s="40" t="s">
        <v>38</v>
      </c>
      <c r="AY97" s="40" t="s">
        <v>38</v>
      </c>
      <c r="AZ97" s="40" t="s">
        <v>38</v>
      </c>
      <c r="BA97" s="40" t="s">
        <v>38</v>
      </c>
      <c r="BB97" s="40" t="s">
        <v>38</v>
      </c>
      <c r="BC97" s="40" t="s">
        <v>38</v>
      </c>
      <c r="BD97" s="40" t="s">
        <v>38</v>
      </c>
      <c r="BE97" s="40" t="s">
        <v>38</v>
      </c>
      <c r="BF97" s="40" t="s">
        <v>38</v>
      </c>
      <c r="BG97" s="40" t="s">
        <v>38</v>
      </c>
      <c r="BH97" s="40" t="s">
        <v>38</v>
      </c>
      <c r="BI97" s="40" t="s">
        <v>38</v>
      </c>
      <c r="BJ97" s="40" t="s">
        <v>38</v>
      </c>
      <c r="BK97" s="40" t="s">
        <v>38</v>
      </c>
      <c r="BL97" s="40" t="s">
        <v>38</v>
      </c>
      <c r="BM97" s="40" t="s">
        <v>38</v>
      </c>
      <c r="BN97" s="40" t="s">
        <v>38</v>
      </c>
      <c r="BO97" s="40" t="s">
        <v>38</v>
      </c>
      <c r="BP97" s="40" t="s">
        <v>38</v>
      </c>
      <c r="BQ97" s="40" t="s">
        <v>38</v>
      </c>
      <c r="BR97" s="40" t="s">
        <v>38</v>
      </c>
      <c r="BS97" s="40" t="s">
        <v>38</v>
      </c>
      <c r="BT97" s="40" t="s">
        <v>38</v>
      </c>
      <c r="BU97" s="40" t="s">
        <v>38</v>
      </c>
      <c r="BV97" s="40" t="s">
        <v>38</v>
      </c>
      <c r="BW97" s="40" t="s">
        <v>38</v>
      </c>
      <c r="BX97" s="40" t="s">
        <v>38</v>
      </c>
      <c r="BY97" s="85">
        <f>(0.258+0.237)/2</f>
        <v>0.2475</v>
      </c>
      <c r="BZ97" s="85">
        <f>(0.304+0.307)/2</f>
        <v>0.30549999999999999</v>
      </c>
      <c r="CA97" s="86">
        <v>0.2185</v>
      </c>
    </row>
    <row r="98" spans="1:79">
      <c r="A98" s="60">
        <v>69</v>
      </c>
      <c r="B98" s="83">
        <v>254597.82972499999</v>
      </c>
      <c r="C98" s="83">
        <v>4505663.6450399999</v>
      </c>
      <c r="D98" s="19" t="s">
        <v>38</v>
      </c>
      <c r="E98" s="19" t="s">
        <v>38</v>
      </c>
      <c r="F98" s="19" t="s">
        <v>38</v>
      </c>
      <c r="G98" s="19" t="s">
        <v>38</v>
      </c>
      <c r="H98" s="19" t="s">
        <v>38</v>
      </c>
      <c r="I98" s="19" t="s">
        <v>38</v>
      </c>
      <c r="J98" s="19" t="s">
        <v>38</v>
      </c>
      <c r="K98" s="19" t="s">
        <v>38</v>
      </c>
      <c r="L98" s="19" t="s">
        <v>38</v>
      </c>
      <c r="M98" s="19" t="s">
        <v>38</v>
      </c>
      <c r="N98" s="23" t="s">
        <v>38</v>
      </c>
      <c r="O98" s="23" t="s">
        <v>38</v>
      </c>
      <c r="P98" s="23" t="s">
        <v>38</v>
      </c>
      <c r="Q98" s="23" t="s">
        <v>38</v>
      </c>
      <c r="R98" s="23" t="s">
        <v>38</v>
      </c>
      <c r="S98" s="23" t="s">
        <v>38</v>
      </c>
      <c r="T98" s="19" t="s">
        <v>38</v>
      </c>
      <c r="U98" s="19" t="s">
        <v>38</v>
      </c>
      <c r="V98" s="19" t="s">
        <v>38</v>
      </c>
      <c r="W98" s="19" t="s">
        <v>38</v>
      </c>
      <c r="X98" s="19" t="s">
        <v>38</v>
      </c>
      <c r="Y98" s="19" t="s">
        <v>38</v>
      </c>
      <c r="Z98" s="19" t="s">
        <v>38</v>
      </c>
      <c r="AA98" s="19" t="s">
        <v>38</v>
      </c>
      <c r="AB98" s="19" t="s">
        <v>38</v>
      </c>
      <c r="AC98" s="19" t="s">
        <v>38</v>
      </c>
      <c r="AD98" s="19" t="s">
        <v>38</v>
      </c>
      <c r="AE98" s="19" t="s">
        <v>38</v>
      </c>
      <c r="AF98" s="19" t="s">
        <v>38</v>
      </c>
      <c r="AG98" s="19" t="s">
        <v>38</v>
      </c>
      <c r="AH98" s="19" t="s">
        <v>38</v>
      </c>
      <c r="AI98" s="19" t="s">
        <v>38</v>
      </c>
      <c r="AJ98" s="19" t="s">
        <v>38</v>
      </c>
      <c r="AK98" s="19" t="s">
        <v>38</v>
      </c>
      <c r="AL98" s="19" t="s">
        <v>38</v>
      </c>
      <c r="AM98" s="19" t="s">
        <v>38</v>
      </c>
      <c r="AN98" s="40" t="s">
        <v>38</v>
      </c>
      <c r="AO98" s="40" t="s">
        <v>38</v>
      </c>
      <c r="AP98" s="40" t="s">
        <v>38</v>
      </c>
      <c r="AQ98" s="40" t="s">
        <v>38</v>
      </c>
      <c r="AR98" s="40" t="s">
        <v>38</v>
      </c>
      <c r="AS98" s="40" t="s">
        <v>38</v>
      </c>
      <c r="AT98" s="40" t="s">
        <v>38</v>
      </c>
      <c r="AU98" s="40" t="s">
        <v>38</v>
      </c>
      <c r="AV98" s="40" t="s">
        <v>38</v>
      </c>
      <c r="AW98" s="40" t="s">
        <v>38</v>
      </c>
      <c r="AX98" s="40" t="s">
        <v>38</v>
      </c>
      <c r="AY98" s="40" t="s">
        <v>38</v>
      </c>
      <c r="AZ98" s="40" t="s">
        <v>38</v>
      </c>
      <c r="BA98" s="40" t="s">
        <v>38</v>
      </c>
      <c r="BB98" s="40" t="s">
        <v>38</v>
      </c>
      <c r="BC98" s="40" t="s">
        <v>38</v>
      </c>
      <c r="BD98" s="40" t="s">
        <v>38</v>
      </c>
      <c r="BE98" s="40" t="s">
        <v>38</v>
      </c>
      <c r="BF98" s="40" t="s">
        <v>38</v>
      </c>
      <c r="BG98" s="40" t="s">
        <v>38</v>
      </c>
      <c r="BH98" s="40" t="s">
        <v>38</v>
      </c>
      <c r="BI98" s="40" t="s">
        <v>38</v>
      </c>
      <c r="BJ98" s="40" t="s">
        <v>38</v>
      </c>
      <c r="BK98" s="40" t="s">
        <v>38</v>
      </c>
      <c r="BL98" s="40" t="s">
        <v>38</v>
      </c>
      <c r="BM98" s="40" t="s">
        <v>38</v>
      </c>
      <c r="BN98" s="40" t="s">
        <v>38</v>
      </c>
      <c r="BO98" s="40" t="s">
        <v>38</v>
      </c>
      <c r="BP98" s="40" t="s">
        <v>38</v>
      </c>
      <c r="BQ98" s="40" t="s">
        <v>38</v>
      </c>
      <c r="BR98" s="40" t="s">
        <v>38</v>
      </c>
      <c r="BS98" s="40" t="s">
        <v>38</v>
      </c>
      <c r="BT98" s="40" t="s">
        <v>38</v>
      </c>
      <c r="BU98" s="40" t="s">
        <v>38</v>
      </c>
      <c r="BV98" s="40" t="s">
        <v>38</v>
      </c>
      <c r="BW98" s="40" t="s">
        <v>38</v>
      </c>
      <c r="BX98" s="40" t="s">
        <v>38</v>
      </c>
      <c r="BY98" s="69" t="s">
        <v>38</v>
      </c>
      <c r="BZ98" s="69" t="s">
        <v>38</v>
      </c>
      <c r="CA98" s="86" t="s">
        <v>38</v>
      </c>
    </row>
    <row r="99" spans="1:79">
      <c r="A99" s="60">
        <v>70</v>
      </c>
      <c r="B99" s="82">
        <v>254634.17014</v>
      </c>
      <c r="C99" s="82">
        <v>4505678.18004</v>
      </c>
      <c r="D99" s="19">
        <v>0.36049999999999999</v>
      </c>
      <c r="E99" s="19">
        <v>0.32750000000000001</v>
      </c>
      <c r="F99" s="19">
        <v>0.33150000000000002</v>
      </c>
      <c r="G99" s="19">
        <v>0.34749999999999998</v>
      </c>
      <c r="H99" s="19">
        <v>0.35049999999999998</v>
      </c>
      <c r="I99" s="19">
        <v>0.28749999999999998</v>
      </c>
      <c r="J99" s="19">
        <v>0.27750000000000002</v>
      </c>
      <c r="K99" s="19">
        <v>0.22</v>
      </c>
      <c r="L99" s="19">
        <v>0.23</v>
      </c>
      <c r="M99" s="19">
        <v>0.21</v>
      </c>
      <c r="N99" s="16">
        <v>0.22500000000000001</v>
      </c>
      <c r="O99" s="16">
        <v>0.20200000000000001</v>
      </c>
      <c r="P99" s="16">
        <v>0.21249999999999999</v>
      </c>
      <c r="Q99" s="16">
        <v>0.23549999999999999</v>
      </c>
      <c r="R99" s="16">
        <v>0.27600000000000002</v>
      </c>
      <c r="S99" s="16">
        <v>0.28999999999999998</v>
      </c>
      <c r="T99" s="16">
        <v>0.39700000000000002</v>
      </c>
      <c r="U99" s="16">
        <v>0.40200000000000002</v>
      </c>
      <c r="V99" s="16">
        <v>0.41199999999999998</v>
      </c>
      <c r="W99" s="16">
        <v>0.47</v>
      </c>
      <c r="X99" s="23">
        <v>0.40600000000000003</v>
      </c>
      <c r="Y99" s="24">
        <v>0.38500000000000001</v>
      </c>
      <c r="Z99" s="23">
        <v>0.41899999999999998</v>
      </c>
      <c r="AA99" s="23">
        <v>0.40500000000000003</v>
      </c>
      <c r="AB99" s="23">
        <v>0.40799999999999997</v>
      </c>
      <c r="AC99" s="24">
        <v>0.41</v>
      </c>
      <c r="AD99" s="16">
        <v>0.41199999999999998</v>
      </c>
      <c r="AE99" s="16">
        <v>0.38100000000000001</v>
      </c>
      <c r="AF99" s="16">
        <v>0.29399999999999998</v>
      </c>
      <c r="AG99" s="16">
        <v>0.27500000000000002</v>
      </c>
      <c r="AH99" s="16">
        <v>0.24099999999999999</v>
      </c>
      <c r="AI99" s="16">
        <v>0.27</v>
      </c>
      <c r="AJ99" s="16">
        <v>0.22900000000000001</v>
      </c>
      <c r="AK99" s="16">
        <v>0.245</v>
      </c>
      <c r="AL99" s="16">
        <v>0.39800000000000002</v>
      </c>
      <c r="AM99" s="16">
        <v>0.41799999999999998</v>
      </c>
      <c r="AN99" s="40">
        <v>0.33300000000000002</v>
      </c>
      <c r="AO99" s="40">
        <v>0.25900000000000001</v>
      </c>
      <c r="AP99" s="40">
        <v>0.314</v>
      </c>
      <c r="AQ99" s="40">
        <v>0.32100000000000001</v>
      </c>
      <c r="AR99" s="40">
        <v>0.30499999999999999</v>
      </c>
      <c r="AS99" s="40">
        <v>0.29199999999999998</v>
      </c>
      <c r="AT99" s="40">
        <v>0.28499999999999998</v>
      </c>
      <c r="AU99" s="40">
        <v>0.27600000000000002</v>
      </c>
      <c r="AV99" s="40">
        <v>0.25700000000000001</v>
      </c>
      <c r="AW99" s="40">
        <v>0.21299999999999999</v>
      </c>
      <c r="AX99" s="40">
        <v>0.223</v>
      </c>
      <c r="AY99" s="40">
        <v>0.20499999999999999</v>
      </c>
      <c r="AZ99" s="40">
        <v>0.214</v>
      </c>
      <c r="BA99" s="40">
        <v>0.247</v>
      </c>
      <c r="BB99" s="49">
        <v>0.1865</v>
      </c>
      <c r="BC99" s="40">
        <v>0.2465</v>
      </c>
      <c r="BD99" s="50">
        <v>0.26550000000000001</v>
      </c>
      <c r="BE99" s="40" t="s">
        <v>38</v>
      </c>
      <c r="BF99" s="40" t="s">
        <v>38</v>
      </c>
      <c r="BG99" s="40">
        <v>0.36149999999999999</v>
      </c>
      <c r="BH99" s="38">
        <v>0.3105</v>
      </c>
      <c r="BI99" s="38">
        <v>0.33450000000000002</v>
      </c>
      <c r="BJ99" s="38">
        <v>0.374</v>
      </c>
      <c r="BK99" s="38">
        <v>0.31950000000000001</v>
      </c>
      <c r="BL99" s="38">
        <v>0.316</v>
      </c>
      <c r="BM99" s="38">
        <v>0.35099999999999998</v>
      </c>
      <c r="BN99" s="40" t="s">
        <v>38</v>
      </c>
      <c r="BO99" s="40">
        <v>0.34350000000000003</v>
      </c>
      <c r="BP99" s="38">
        <v>0.33450000000000002</v>
      </c>
      <c r="BQ99" s="38">
        <v>0.26</v>
      </c>
      <c r="BR99" s="41">
        <v>0.25850000000000001</v>
      </c>
      <c r="BS99" s="40" t="s">
        <v>38</v>
      </c>
      <c r="BT99" s="41">
        <v>0.2465</v>
      </c>
      <c r="BU99" s="42">
        <v>0.23849999999999999</v>
      </c>
      <c r="BV99" s="41">
        <v>0.23649999999999999</v>
      </c>
      <c r="BW99" s="42">
        <v>0.24149999999999999</v>
      </c>
      <c r="BX99" s="42">
        <v>0.254</v>
      </c>
      <c r="BY99" s="85">
        <f>(0.379+0.373)/2</f>
        <v>0.376</v>
      </c>
      <c r="BZ99" s="85">
        <f>(0.331+0.334)/2</f>
        <v>0.33250000000000002</v>
      </c>
      <c r="CA99" s="86">
        <v>0.47499999999999998</v>
      </c>
    </row>
    <row r="100" spans="1:79">
      <c r="A100" s="60">
        <v>71</v>
      </c>
      <c r="B100" s="82">
        <v>254591.99662699999</v>
      </c>
      <c r="C100" s="82">
        <v>4505692.3642499996</v>
      </c>
      <c r="D100" s="19" t="s">
        <v>38</v>
      </c>
      <c r="E100" s="19" t="s">
        <v>38</v>
      </c>
      <c r="F100" s="19" t="s">
        <v>38</v>
      </c>
      <c r="G100" s="19" t="s">
        <v>38</v>
      </c>
      <c r="H100" s="19" t="s">
        <v>38</v>
      </c>
      <c r="I100" s="19" t="s">
        <v>38</v>
      </c>
      <c r="J100" s="19" t="s">
        <v>38</v>
      </c>
      <c r="K100" s="19" t="s">
        <v>38</v>
      </c>
      <c r="L100" s="19" t="s">
        <v>38</v>
      </c>
      <c r="M100" s="19" t="s">
        <v>38</v>
      </c>
      <c r="N100" s="23" t="s">
        <v>38</v>
      </c>
      <c r="O100" s="23" t="s">
        <v>38</v>
      </c>
      <c r="P100" s="23" t="s">
        <v>38</v>
      </c>
      <c r="Q100" s="23" t="s">
        <v>38</v>
      </c>
      <c r="R100" s="23" t="s">
        <v>38</v>
      </c>
      <c r="S100" s="23" t="s">
        <v>38</v>
      </c>
      <c r="T100" s="19" t="s">
        <v>38</v>
      </c>
      <c r="U100" s="19" t="s">
        <v>38</v>
      </c>
      <c r="V100" s="19" t="s">
        <v>38</v>
      </c>
      <c r="W100" s="19" t="s">
        <v>38</v>
      </c>
      <c r="X100" s="19" t="s">
        <v>38</v>
      </c>
      <c r="Y100" s="19" t="s">
        <v>38</v>
      </c>
      <c r="Z100" s="19" t="s">
        <v>38</v>
      </c>
      <c r="AA100" s="19" t="s">
        <v>38</v>
      </c>
      <c r="AB100" s="19" t="s">
        <v>38</v>
      </c>
      <c r="AC100" s="19" t="s">
        <v>38</v>
      </c>
      <c r="AD100" s="19" t="s">
        <v>38</v>
      </c>
      <c r="AE100" s="19" t="s">
        <v>38</v>
      </c>
      <c r="AF100" s="19" t="s">
        <v>38</v>
      </c>
      <c r="AG100" s="19" t="s">
        <v>38</v>
      </c>
      <c r="AH100" s="19" t="s">
        <v>38</v>
      </c>
      <c r="AI100" s="19" t="s">
        <v>38</v>
      </c>
      <c r="AJ100" s="19" t="s">
        <v>38</v>
      </c>
      <c r="AK100" s="19" t="s">
        <v>38</v>
      </c>
      <c r="AL100" s="19" t="s">
        <v>38</v>
      </c>
      <c r="AM100" s="19" t="s">
        <v>38</v>
      </c>
      <c r="AN100" s="19" t="s">
        <v>38</v>
      </c>
      <c r="AO100" s="19" t="s">
        <v>38</v>
      </c>
      <c r="AP100" s="19" t="s">
        <v>38</v>
      </c>
      <c r="AQ100" s="19" t="s">
        <v>38</v>
      </c>
      <c r="AR100" s="19" t="s">
        <v>38</v>
      </c>
      <c r="AS100" s="19" t="s">
        <v>38</v>
      </c>
      <c r="AT100" s="19" t="s">
        <v>38</v>
      </c>
      <c r="AU100" s="19" t="s">
        <v>38</v>
      </c>
      <c r="AV100" s="19" t="s">
        <v>38</v>
      </c>
      <c r="AW100" s="19" t="s">
        <v>38</v>
      </c>
      <c r="AX100" s="19" t="s">
        <v>38</v>
      </c>
      <c r="AY100" s="19" t="s">
        <v>38</v>
      </c>
      <c r="AZ100" s="19" t="s">
        <v>38</v>
      </c>
      <c r="BA100" s="19" t="s">
        <v>38</v>
      </c>
      <c r="BB100" s="19" t="s">
        <v>38</v>
      </c>
      <c r="BC100" s="19" t="s">
        <v>38</v>
      </c>
      <c r="BD100" s="19" t="s">
        <v>38</v>
      </c>
      <c r="BE100" s="19" t="s">
        <v>38</v>
      </c>
      <c r="BF100" s="19" t="s">
        <v>38</v>
      </c>
      <c r="BG100" s="19" t="s">
        <v>38</v>
      </c>
      <c r="BH100" s="19" t="s">
        <v>38</v>
      </c>
      <c r="BI100" s="19" t="s">
        <v>38</v>
      </c>
      <c r="BJ100" s="19" t="s">
        <v>38</v>
      </c>
      <c r="BK100" s="19" t="s">
        <v>38</v>
      </c>
      <c r="BL100" s="19" t="s">
        <v>38</v>
      </c>
      <c r="BM100" s="19" t="s">
        <v>38</v>
      </c>
      <c r="BN100" s="19" t="s">
        <v>38</v>
      </c>
      <c r="BO100" s="19" t="s">
        <v>38</v>
      </c>
      <c r="BP100" s="19" t="s">
        <v>38</v>
      </c>
      <c r="BQ100" s="19" t="s">
        <v>38</v>
      </c>
      <c r="BR100" s="19" t="s">
        <v>38</v>
      </c>
      <c r="BS100" s="19" t="s">
        <v>38</v>
      </c>
      <c r="BT100" s="19" t="s">
        <v>38</v>
      </c>
      <c r="BU100" s="19" t="s">
        <v>38</v>
      </c>
      <c r="BV100" s="19" t="s">
        <v>38</v>
      </c>
      <c r="BW100" s="19" t="s">
        <v>38</v>
      </c>
      <c r="BX100" s="19" t="s">
        <v>38</v>
      </c>
      <c r="BY100" s="69" t="s">
        <v>38</v>
      </c>
      <c r="BZ100" s="69" t="s">
        <v>38</v>
      </c>
      <c r="CA100" s="86" t="s">
        <v>38</v>
      </c>
    </row>
    <row r="101" spans="1:79">
      <c r="A101" s="60">
        <v>72</v>
      </c>
      <c r="B101" s="82">
        <v>254645.76749900001</v>
      </c>
      <c r="C101" s="82">
        <v>4505710.0379499998</v>
      </c>
      <c r="D101" s="19">
        <v>0.33600000000000002</v>
      </c>
      <c r="E101" s="19">
        <v>0.33300000000000002</v>
      </c>
      <c r="F101" s="19">
        <v>0.34499999999999997</v>
      </c>
      <c r="G101" s="19">
        <v>0.35899999999999999</v>
      </c>
      <c r="H101" s="19">
        <v>0.35149999999999998</v>
      </c>
      <c r="I101" s="19">
        <v>0.27850000000000003</v>
      </c>
      <c r="J101" s="19">
        <v>0.251</v>
      </c>
      <c r="K101" s="19">
        <v>0.1925</v>
      </c>
      <c r="L101" s="19">
        <v>0.22</v>
      </c>
      <c r="M101" s="19">
        <v>0.18049999999999999</v>
      </c>
      <c r="N101" s="16">
        <v>0.19350000000000001</v>
      </c>
      <c r="O101" s="16">
        <v>0.1865</v>
      </c>
      <c r="P101" s="16">
        <v>0.19900000000000001</v>
      </c>
      <c r="Q101" s="16">
        <v>0.23200000000000001</v>
      </c>
      <c r="R101" s="16">
        <v>0.26300000000000001</v>
      </c>
      <c r="S101" s="16">
        <v>0.27400000000000002</v>
      </c>
      <c r="T101" s="16">
        <v>0.379</v>
      </c>
      <c r="U101" s="16">
        <v>0.38400000000000001</v>
      </c>
      <c r="V101" s="16">
        <v>0.40300000000000002</v>
      </c>
      <c r="W101" s="16">
        <v>0.441</v>
      </c>
      <c r="X101" s="23">
        <v>0.41599999999999998</v>
      </c>
      <c r="Y101" s="24">
        <v>0.374</v>
      </c>
      <c r="Z101" s="23">
        <v>0.40600000000000003</v>
      </c>
      <c r="AA101" s="23">
        <v>0.38600000000000001</v>
      </c>
      <c r="AB101" s="23">
        <v>0.40400000000000003</v>
      </c>
      <c r="AC101" s="24">
        <v>0.42199999999999999</v>
      </c>
      <c r="AD101" s="16">
        <v>0.38500000000000001</v>
      </c>
      <c r="AE101" s="16">
        <v>0.311</v>
      </c>
      <c r="AF101" s="16">
        <v>0.247</v>
      </c>
      <c r="AG101" s="16">
        <v>0.21299999999999999</v>
      </c>
      <c r="AH101" s="16">
        <v>0.217</v>
      </c>
      <c r="AI101" s="16">
        <v>0.224</v>
      </c>
      <c r="AJ101" s="16">
        <v>0.22500000000000001</v>
      </c>
      <c r="AK101" s="16">
        <v>0.24199999999999999</v>
      </c>
      <c r="AL101" s="16">
        <v>0.28599999999999998</v>
      </c>
      <c r="AM101" s="16">
        <v>0.39800000000000002</v>
      </c>
      <c r="AN101" s="40">
        <v>0.30199999999999999</v>
      </c>
      <c r="AO101" s="40">
        <v>0.26100000000000001</v>
      </c>
      <c r="AP101" s="40">
        <v>0.26300000000000001</v>
      </c>
      <c r="AQ101" s="40">
        <v>0.28899999999999998</v>
      </c>
      <c r="AR101" s="40">
        <v>0.27400000000000002</v>
      </c>
      <c r="AS101" s="40">
        <v>0.27600000000000002</v>
      </c>
      <c r="AT101" s="40">
        <v>0.26200000000000001</v>
      </c>
      <c r="AU101" s="40">
        <v>0.248</v>
      </c>
      <c r="AV101" s="40">
        <v>0.223</v>
      </c>
      <c r="AW101" s="40">
        <v>0.20100000000000001</v>
      </c>
      <c r="AX101" s="40">
        <v>0.19800000000000001</v>
      </c>
      <c r="AY101" s="19" t="s">
        <v>38</v>
      </c>
      <c r="AZ101" s="19" t="s">
        <v>38</v>
      </c>
      <c r="BA101" s="40">
        <v>0.214</v>
      </c>
      <c r="BB101" s="49">
        <v>0.20050000000000001</v>
      </c>
      <c r="BC101" s="40">
        <v>0.23599999999999999</v>
      </c>
      <c r="BD101" s="50">
        <v>0.27650000000000002</v>
      </c>
      <c r="BE101" s="19" t="s">
        <v>38</v>
      </c>
      <c r="BF101" s="19" t="s">
        <v>38</v>
      </c>
      <c r="BG101" s="40">
        <v>0.35849999999999999</v>
      </c>
      <c r="BH101" s="38">
        <v>0.307</v>
      </c>
      <c r="BI101" s="38">
        <v>0.35149999999999998</v>
      </c>
      <c r="BJ101" s="38">
        <v>0.35699999999999998</v>
      </c>
      <c r="BK101" s="38">
        <v>0.33</v>
      </c>
      <c r="BL101" s="38">
        <v>0.32700000000000001</v>
      </c>
      <c r="BM101" s="38">
        <v>0.35299999999999998</v>
      </c>
      <c r="BN101" s="19" t="s">
        <v>38</v>
      </c>
      <c r="BO101" s="40">
        <v>0.33200000000000002</v>
      </c>
      <c r="BP101" s="38">
        <v>0.3075</v>
      </c>
      <c r="BQ101" s="38">
        <v>0.2455</v>
      </c>
      <c r="BR101" s="41">
        <v>0.2225</v>
      </c>
      <c r="BS101" s="19" t="s">
        <v>38</v>
      </c>
      <c r="BT101" s="41">
        <v>0.23599999999999999</v>
      </c>
      <c r="BU101" s="42">
        <v>0.214</v>
      </c>
      <c r="BV101" s="41">
        <v>0.21299999999999999</v>
      </c>
      <c r="BW101" s="42">
        <v>0.221</v>
      </c>
      <c r="BX101" s="42" t="s">
        <v>38</v>
      </c>
      <c r="BY101" s="85">
        <v>0.377</v>
      </c>
      <c r="BZ101" s="85">
        <f>(0.335+0.33)/2</f>
        <v>0.33250000000000002</v>
      </c>
      <c r="CA101" s="86">
        <v>0.46899999999999997</v>
      </c>
    </row>
    <row r="102" spans="1:79">
      <c r="A102" s="60">
        <v>73</v>
      </c>
      <c r="B102" s="82">
        <v>254636.46085900001</v>
      </c>
      <c r="C102" s="82">
        <v>4505694.7106600003</v>
      </c>
      <c r="D102" s="19">
        <v>0.33600000000000002</v>
      </c>
      <c r="E102" s="19">
        <v>0.30249999999999999</v>
      </c>
      <c r="F102" s="19">
        <v>0.3115</v>
      </c>
      <c r="G102" s="19">
        <v>0.3175</v>
      </c>
      <c r="H102" s="19">
        <v>0.30099999999999999</v>
      </c>
      <c r="I102" s="19">
        <v>0.249</v>
      </c>
      <c r="J102" s="19">
        <v>0.23549999999999999</v>
      </c>
      <c r="K102" s="19">
        <v>0.1885</v>
      </c>
      <c r="L102" s="19">
        <v>0.19850000000000001</v>
      </c>
      <c r="M102" s="19">
        <v>0.17649999999999999</v>
      </c>
      <c r="N102" s="16">
        <v>0.216</v>
      </c>
      <c r="O102" s="16">
        <v>0.18099999999999999</v>
      </c>
      <c r="P102" s="16">
        <v>0.17699999999999999</v>
      </c>
      <c r="Q102" s="16">
        <v>0.23349999999999999</v>
      </c>
      <c r="R102" s="16">
        <v>0.25950000000000001</v>
      </c>
      <c r="S102" s="16">
        <v>0.252</v>
      </c>
      <c r="T102" s="16">
        <v>0.35299999999999998</v>
      </c>
      <c r="U102" s="16">
        <v>0.42499999999999999</v>
      </c>
      <c r="V102" s="16">
        <v>0.36199999999999999</v>
      </c>
      <c r="W102" s="16">
        <v>0.39100000000000001</v>
      </c>
      <c r="X102" s="23">
        <v>0.35499999999999998</v>
      </c>
      <c r="Y102" s="24">
        <v>0.34599999999999997</v>
      </c>
      <c r="Z102" s="23">
        <v>0.371</v>
      </c>
      <c r="AA102" s="23">
        <v>0.36599999999999999</v>
      </c>
      <c r="AB102" s="23">
        <v>0.378</v>
      </c>
      <c r="AC102" s="24">
        <v>0.36599999999999999</v>
      </c>
      <c r="AD102" s="16">
        <v>0.40500000000000003</v>
      </c>
      <c r="AE102" s="16">
        <v>0.29399999999999998</v>
      </c>
      <c r="AF102" s="16">
        <v>0.222</v>
      </c>
      <c r="AG102" s="16">
        <v>0.23400000000000001</v>
      </c>
      <c r="AH102" s="16">
        <v>0.19800000000000001</v>
      </c>
      <c r="AI102" s="16">
        <v>0.154</v>
      </c>
      <c r="AJ102" s="16">
        <v>0.20799999999999999</v>
      </c>
      <c r="AK102" s="16">
        <v>0.21199999999999999</v>
      </c>
      <c r="AL102" s="16">
        <v>0.29199999999999998</v>
      </c>
      <c r="AM102" s="16">
        <v>0.41499999999999998</v>
      </c>
      <c r="AN102" s="40">
        <v>0.31900000000000001</v>
      </c>
      <c r="AO102" s="40">
        <v>0.23400000000000001</v>
      </c>
      <c r="AP102" s="40">
        <v>0.26</v>
      </c>
      <c r="AQ102" s="40">
        <v>0.28100000000000003</v>
      </c>
      <c r="AR102" s="40">
        <v>0.26500000000000001</v>
      </c>
      <c r="AS102" s="40">
        <v>0.25600000000000001</v>
      </c>
      <c r="AT102" s="40">
        <v>0.24399999999999999</v>
      </c>
      <c r="AU102" s="40">
        <v>0.22900000000000001</v>
      </c>
      <c r="AV102" s="40">
        <v>0.216</v>
      </c>
      <c r="AW102" s="40">
        <v>0.191</v>
      </c>
      <c r="AX102" s="40">
        <v>0.186</v>
      </c>
      <c r="AY102" s="19" t="s">
        <v>38</v>
      </c>
      <c r="AZ102" s="19" t="s">
        <v>38</v>
      </c>
      <c r="BA102" s="40" t="s">
        <v>38</v>
      </c>
      <c r="BB102" s="49">
        <v>0.16700000000000001</v>
      </c>
      <c r="BC102" s="40">
        <v>0.20400000000000001</v>
      </c>
      <c r="BD102" s="50">
        <v>0.20550000000000002</v>
      </c>
      <c r="BE102" s="19" t="s">
        <v>38</v>
      </c>
      <c r="BF102" s="19" t="s">
        <v>38</v>
      </c>
      <c r="BG102" s="40">
        <v>0.33300000000000002</v>
      </c>
      <c r="BH102" s="38">
        <v>0.28699999999999998</v>
      </c>
      <c r="BI102" s="38">
        <v>0.31</v>
      </c>
      <c r="BJ102" s="38">
        <v>0.33450000000000002</v>
      </c>
      <c r="BK102" s="38">
        <v>0.29449999999999998</v>
      </c>
      <c r="BL102" s="38">
        <v>0.29599999999999999</v>
      </c>
      <c r="BM102" s="38">
        <v>0.32</v>
      </c>
      <c r="BN102" s="19" t="s">
        <v>38</v>
      </c>
      <c r="BO102" s="40">
        <v>0.313</v>
      </c>
      <c r="BP102" s="38">
        <v>0.28999999999999998</v>
      </c>
      <c r="BQ102" s="38">
        <v>0.219</v>
      </c>
      <c r="BR102" s="41">
        <v>0.2185</v>
      </c>
      <c r="BS102" s="19" t="s">
        <v>38</v>
      </c>
      <c r="BT102" s="41">
        <v>0.20400000000000001</v>
      </c>
      <c r="BU102" s="42">
        <v>0.20200000000000001</v>
      </c>
      <c r="BV102" s="41">
        <v>0.1915</v>
      </c>
      <c r="BW102" s="42">
        <v>0.23150000000000001</v>
      </c>
      <c r="BX102" s="42">
        <v>0.23949999999999999</v>
      </c>
      <c r="BY102" s="85">
        <f>(0.34+0.335)/2</f>
        <v>0.33750000000000002</v>
      </c>
      <c r="BZ102" s="85">
        <f>(0.316+0.309)/2</f>
        <v>0.3125</v>
      </c>
      <c r="CA102" s="86">
        <v>0.4365</v>
      </c>
    </row>
    <row r="103" spans="1:79">
      <c r="A103" s="21">
        <v>74</v>
      </c>
      <c r="B103" s="82">
        <v>254459.02979100001</v>
      </c>
      <c r="C103" s="82">
        <v>4505693.6283600004</v>
      </c>
      <c r="D103" s="19">
        <v>0.3095</v>
      </c>
      <c r="E103" s="19" t="s">
        <v>38</v>
      </c>
      <c r="F103" s="19" t="s">
        <v>38</v>
      </c>
      <c r="G103" s="19" t="s">
        <v>38</v>
      </c>
      <c r="H103" s="19" t="s">
        <v>38</v>
      </c>
      <c r="I103" s="19" t="s">
        <v>38</v>
      </c>
      <c r="J103" s="19" t="s">
        <v>38</v>
      </c>
      <c r="K103" s="19" t="s">
        <v>38</v>
      </c>
      <c r="L103" s="19" t="s">
        <v>38</v>
      </c>
      <c r="M103" s="19" t="s">
        <v>38</v>
      </c>
      <c r="N103" s="23" t="s">
        <v>38</v>
      </c>
      <c r="O103" s="23" t="s">
        <v>38</v>
      </c>
      <c r="P103" s="23" t="s">
        <v>38</v>
      </c>
      <c r="Q103" s="23" t="s">
        <v>38</v>
      </c>
      <c r="R103" s="23" t="s">
        <v>38</v>
      </c>
      <c r="S103" s="23" t="s">
        <v>38</v>
      </c>
      <c r="T103" s="19" t="s">
        <v>38</v>
      </c>
      <c r="U103" s="19" t="s">
        <v>38</v>
      </c>
      <c r="V103" s="19" t="s">
        <v>38</v>
      </c>
      <c r="W103" s="19" t="s">
        <v>38</v>
      </c>
      <c r="X103" s="19" t="s">
        <v>38</v>
      </c>
      <c r="Y103" s="19" t="s">
        <v>38</v>
      </c>
      <c r="Z103" s="19" t="s">
        <v>38</v>
      </c>
      <c r="AA103" s="19" t="s">
        <v>38</v>
      </c>
      <c r="AB103" s="19" t="s">
        <v>38</v>
      </c>
      <c r="AC103" s="19" t="s">
        <v>38</v>
      </c>
      <c r="AD103" s="19" t="s">
        <v>38</v>
      </c>
      <c r="AE103" s="19" t="s">
        <v>38</v>
      </c>
      <c r="AF103" s="19" t="s">
        <v>38</v>
      </c>
      <c r="AG103" s="19" t="s">
        <v>38</v>
      </c>
      <c r="AH103" s="19" t="s">
        <v>38</v>
      </c>
      <c r="AI103" s="19" t="s">
        <v>38</v>
      </c>
      <c r="AJ103" s="19" t="s">
        <v>38</v>
      </c>
      <c r="AK103" s="19" t="s">
        <v>38</v>
      </c>
      <c r="AL103" s="19" t="s">
        <v>38</v>
      </c>
      <c r="AM103" s="19" t="s">
        <v>38</v>
      </c>
      <c r="AN103" s="19" t="s">
        <v>38</v>
      </c>
      <c r="AO103" s="19" t="s">
        <v>38</v>
      </c>
      <c r="AP103" s="19" t="s">
        <v>38</v>
      </c>
      <c r="AQ103" s="19" t="s">
        <v>38</v>
      </c>
      <c r="AR103" s="19" t="s">
        <v>38</v>
      </c>
      <c r="AS103" s="19" t="s">
        <v>38</v>
      </c>
      <c r="AT103" s="19" t="s">
        <v>38</v>
      </c>
      <c r="AU103" s="19" t="s">
        <v>38</v>
      </c>
      <c r="AV103" s="19" t="s">
        <v>38</v>
      </c>
      <c r="AW103" s="19" t="s">
        <v>38</v>
      </c>
      <c r="AX103" s="19" t="s">
        <v>38</v>
      </c>
      <c r="AY103" s="19" t="s">
        <v>38</v>
      </c>
      <c r="AZ103" s="19" t="s">
        <v>38</v>
      </c>
      <c r="BA103" s="19" t="s">
        <v>38</v>
      </c>
      <c r="BB103" s="19" t="s">
        <v>38</v>
      </c>
      <c r="BC103" s="19" t="s">
        <v>38</v>
      </c>
      <c r="BD103" s="19" t="s">
        <v>38</v>
      </c>
      <c r="BE103" s="19" t="s">
        <v>38</v>
      </c>
      <c r="BF103" s="19" t="s">
        <v>38</v>
      </c>
      <c r="BG103" s="19" t="s">
        <v>38</v>
      </c>
      <c r="BH103" s="19" t="s">
        <v>38</v>
      </c>
      <c r="BI103" s="19" t="s">
        <v>38</v>
      </c>
      <c r="BJ103" s="19" t="s">
        <v>38</v>
      </c>
      <c r="BK103" s="19" t="s">
        <v>38</v>
      </c>
      <c r="BL103" s="19" t="s">
        <v>38</v>
      </c>
      <c r="BM103" s="19" t="s">
        <v>38</v>
      </c>
      <c r="BN103" s="19" t="s">
        <v>38</v>
      </c>
      <c r="BO103" s="19" t="s">
        <v>38</v>
      </c>
      <c r="BP103" s="19" t="s">
        <v>38</v>
      </c>
      <c r="BQ103" s="19" t="s">
        <v>38</v>
      </c>
      <c r="BR103" s="19" t="s">
        <v>38</v>
      </c>
      <c r="BS103" s="19" t="s">
        <v>38</v>
      </c>
      <c r="BT103" s="19" t="s">
        <v>38</v>
      </c>
      <c r="BU103" s="19" t="s">
        <v>38</v>
      </c>
      <c r="BV103" s="19" t="s">
        <v>38</v>
      </c>
      <c r="BW103" s="19" t="s">
        <v>38</v>
      </c>
      <c r="BX103" s="19" t="s">
        <v>38</v>
      </c>
      <c r="BY103" s="85" t="s">
        <v>38</v>
      </c>
      <c r="BZ103" s="85" t="s">
        <v>38</v>
      </c>
      <c r="CA103" s="86" t="s">
        <v>38</v>
      </c>
    </row>
    <row r="104" spans="1:79">
      <c r="A104" s="21" t="s">
        <v>35</v>
      </c>
      <c r="B104" s="82">
        <v>254460.35351799999</v>
      </c>
      <c r="C104" s="82">
        <v>4505694.28632</v>
      </c>
      <c r="D104" s="19" t="s">
        <v>38</v>
      </c>
      <c r="E104" s="19" t="s">
        <v>38</v>
      </c>
      <c r="F104" s="19" t="s">
        <v>38</v>
      </c>
      <c r="G104" s="19" t="s">
        <v>38</v>
      </c>
      <c r="H104" s="19" t="s">
        <v>38</v>
      </c>
      <c r="I104" s="19" t="s">
        <v>38</v>
      </c>
      <c r="J104" s="19" t="s">
        <v>38</v>
      </c>
      <c r="K104" s="19" t="s">
        <v>38</v>
      </c>
      <c r="L104" s="19" t="s">
        <v>38</v>
      </c>
      <c r="M104" s="19" t="s">
        <v>38</v>
      </c>
      <c r="N104" s="23" t="s">
        <v>38</v>
      </c>
      <c r="O104" s="23" t="s">
        <v>38</v>
      </c>
      <c r="P104" s="23" t="s">
        <v>38</v>
      </c>
      <c r="Q104" s="23" t="s">
        <v>38</v>
      </c>
      <c r="R104" s="23" t="s">
        <v>38</v>
      </c>
      <c r="S104" s="23" t="s">
        <v>38</v>
      </c>
      <c r="T104" s="19" t="s">
        <v>38</v>
      </c>
      <c r="U104" s="19" t="s">
        <v>38</v>
      </c>
      <c r="V104" s="19" t="s">
        <v>38</v>
      </c>
      <c r="W104" s="19" t="s">
        <v>38</v>
      </c>
      <c r="X104" s="19" t="s">
        <v>38</v>
      </c>
      <c r="Y104" s="19" t="s">
        <v>38</v>
      </c>
      <c r="Z104" s="19" t="s">
        <v>38</v>
      </c>
      <c r="AA104" s="19" t="s">
        <v>38</v>
      </c>
      <c r="AB104" s="19" t="s">
        <v>38</v>
      </c>
      <c r="AC104" s="19" t="s">
        <v>38</v>
      </c>
      <c r="AD104" s="19" t="s">
        <v>38</v>
      </c>
      <c r="AE104" s="19" t="s">
        <v>38</v>
      </c>
      <c r="AF104" s="19" t="s">
        <v>38</v>
      </c>
      <c r="AG104" s="19" t="s">
        <v>38</v>
      </c>
      <c r="AH104" s="19" t="s">
        <v>38</v>
      </c>
      <c r="AI104" s="19" t="s">
        <v>38</v>
      </c>
      <c r="AJ104" s="19" t="s">
        <v>38</v>
      </c>
      <c r="AK104" s="19" t="s">
        <v>38</v>
      </c>
      <c r="AL104" s="19" t="s">
        <v>38</v>
      </c>
      <c r="AM104" s="19" t="s">
        <v>38</v>
      </c>
      <c r="AN104" s="19" t="s">
        <v>38</v>
      </c>
      <c r="AO104" s="19" t="s">
        <v>38</v>
      </c>
      <c r="AP104" s="19" t="s">
        <v>38</v>
      </c>
      <c r="AQ104" s="19" t="s">
        <v>38</v>
      </c>
      <c r="AR104" s="19" t="s">
        <v>38</v>
      </c>
      <c r="AS104" s="19" t="s">
        <v>38</v>
      </c>
      <c r="AT104" s="19" t="s">
        <v>38</v>
      </c>
      <c r="AU104" s="19" t="s">
        <v>38</v>
      </c>
      <c r="AV104" s="19" t="s">
        <v>38</v>
      </c>
      <c r="AW104" s="19" t="s">
        <v>38</v>
      </c>
      <c r="AX104" s="19" t="s">
        <v>38</v>
      </c>
      <c r="AY104" s="19" t="s">
        <v>38</v>
      </c>
      <c r="AZ104" s="19" t="s">
        <v>38</v>
      </c>
      <c r="BA104" s="19" t="s">
        <v>38</v>
      </c>
      <c r="BB104" s="19" t="s">
        <v>38</v>
      </c>
      <c r="BC104" s="19" t="s">
        <v>38</v>
      </c>
      <c r="BD104" s="19" t="s">
        <v>38</v>
      </c>
      <c r="BE104" s="19" t="s">
        <v>38</v>
      </c>
      <c r="BF104" s="19" t="s">
        <v>38</v>
      </c>
      <c r="BG104" s="19" t="s">
        <v>38</v>
      </c>
      <c r="BH104" s="19" t="s">
        <v>38</v>
      </c>
      <c r="BI104" s="19" t="s">
        <v>38</v>
      </c>
      <c r="BJ104" s="19" t="s">
        <v>38</v>
      </c>
      <c r="BK104" s="19" t="s">
        <v>38</v>
      </c>
      <c r="BL104" s="19" t="s">
        <v>38</v>
      </c>
      <c r="BM104" s="19" t="s">
        <v>38</v>
      </c>
      <c r="BN104" s="19" t="s">
        <v>38</v>
      </c>
      <c r="BO104" s="19" t="s">
        <v>38</v>
      </c>
      <c r="BP104" s="19" t="s">
        <v>38</v>
      </c>
      <c r="BQ104" s="19" t="s">
        <v>38</v>
      </c>
      <c r="BR104" s="19" t="s">
        <v>38</v>
      </c>
      <c r="BS104" s="19" t="s">
        <v>38</v>
      </c>
      <c r="BT104" s="19" t="s">
        <v>38</v>
      </c>
      <c r="BU104" s="19" t="s">
        <v>38</v>
      </c>
      <c r="BV104" s="19" t="s">
        <v>38</v>
      </c>
      <c r="BW104" s="19" t="s">
        <v>38</v>
      </c>
      <c r="BX104" s="19" t="s">
        <v>38</v>
      </c>
      <c r="BY104" s="85" t="s">
        <v>38</v>
      </c>
      <c r="BZ104" s="85" t="s">
        <v>38</v>
      </c>
      <c r="CA104" s="86" t="s">
        <v>38</v>
      </c>
    </row>
    <row r="105" spans="1:79">
      <c r="A105" s="21" t="s">
        <v>34</v>
      </c>
      <c r="B105" s="82">
        <v>254459.39995799999</v>
      </c>
      <c r="C105" s="82">
        <v>4505693.0609900001</v>
      </c>
      <c r="D105" s="19" t="s">
        <v>38</v>
      </c>
      <c r="E105" s="19" t="s">
        <v>38</v>
      </c>
      <c r="F105" s="19" t="s">
        <v>38</v>
      </c>
      <c r="G105" s="19" t="s">
        <v>38</v>
      </c>
      <c r="H105" s="19" t="s">
        <v>38</v>
      </c>
      <c r="I105" s="19" t="s">
        <v>38</v>
      </c>
      <c r="J105" s="19" t="s">
        <v>38</v>
      </c>
      <c r="K105" s="19" t="s">
        <v>38</v>
      </c>
      <c r="L105" s="19" t="s">
        <v>38</v>
      </c>
      <c r="M105" s="19" t="s">
        <v>38</v>
      </c>
      <c r="N105" s="23" t="s">
        <v>38</v>
      </c>
      <c r="O105" s="23" t="s">
        <v>38</v>
      </c>
      <c r="P105" s="23" t="s">
        <v>38</v>
      </c>
      <c r="Q105" s="23" t="s">
        <v>38</v>
      </c>
      <c r="R105" s="23" t="s">
        <v>38</v>
      </c>
      <c r="S105" s="23" t="s">
        <v>38</v>
      </c>
      <c r="T105" s="19" t="s">
        <v>38</v>
      </c>
      <c r="U105" s="19" t="s">
        <v>38</v>
      </c>
      <c r="V105" s="19" t="s">
        <v>38</v>
      </c>
      <c r="W105" s="19" t="s">
        <v>38</v>
      </c>
      <c r="X105" s="19" t="s">
        <v>38</v>
      </c>
      <c r="Y105" s="19" t="s">
        <v>38</v>
      </c>
      <c r="Z105" s="19" t="s">
        <v>38</v>
      </c>
      <c r="AA105" s="19" t="s">
        <v>38</v>
      </c>
      <c r="AB105" s="19" t="s">
        <v>38</v>
      </c>
      <c r="AC105" s="19" t="s">
        <v>38</v>
      </c>
      <c r="AD105" s="19" t="s">
        <v>38</v>
      </c>
      <c r="AE105" s="19" t="s">
        <v>38</v>
      </c>
      <c r="AF105" s="19" t="s">
        <v>38</v>
      </c>
      <c r="AG105" s="19" t="s">
        <v>38</v>
      </c>
      <c r="AH105" s="19" t="s">
        <v>38</v>
      </c>
      <c r="AI105" s="19" t="s">
        <v>38</v>
      </c>
      <c r="AJ105" s="19" t="s">
        <v>38</v>
      </c>
      <c r="AK105" s="19" t="s">
        <v>38</v>
      </c>
      <c r="AL105" s="19" t="s">
        <v>38</v>
      </c>
      <c r="AM105" s="19" t="s">
        <v>38</v>
      </c>
      <c r="AN105" s="19" t="s">
        <v>38</v>
      </c>
      <c r="AO105" s="19" t="s">
        <v>38</v>
      </c>
      <c r="AP105" s="19" t="s">
        <v>38</v>
      </c>
      <c r="AQ105" s="19" t="s">
        <v>38</v>
      </c>
      <c r="AR105" s="19" t="s">
        <v>38</v>
      </c>
      <c r="AS105" s="19" t="s">
        <v>38</v>
      </c>
      <c r="AT105" s="19" t="s">
        <v>38</v>
      </c>
      <c r="AU105" s="19" t="s">
        <v>38</v>
      </c>
      <c r="AV105" s="19" t="s">
        <v>38</v>
      </c>
      <c r="AW105" s="19" t="s">
        <v>38</v>
      </c>
      <c r="AX105" s="19" t="s">
        <v>38</v>
      </c>
      <c r="AY105" s="19" t="s">
        <v>38</v>
      </c>
      <c r="AZ105" s="19" t="s">
        <v>38</v>
      </c>
      <c r="BA105" s="19" t="s">
        <v>38</v>
      </c>
      <c r="BB105" s="19" t="s">
        <v>38</v>
      </c>
      <c r="BC105" s="19" t="s">
        <v>38</v>
      </c>
      <c r="BD105" s="19" t="s">
        <v>38</v>
      </c>
      <c r="BE105" s="19" t="s">
        <v>38</v>
      </c>
      <c r="BF105" s="19" t="s">
        <v>38</v>
      </c>
      <c r="BG105" s="19" t="s">
        <v>38</v>
      </c>
      <c r="BH105" s="19" t="s">
        <v>38</v>
      </c>
      <c r="BI105" s="19" t="s">
        <v>38</v>
      </c>
      <c r="BJ105" s="19" t="s">
        <v>38</v>
      </c>
      <c r="BK105" s="19" t="s">
        <v>38</v>
      </c>
      <c r="BL105" s="19" t="s">
        <v>38</v>
      </c>
      <c r="BM105" s="19" t="s">
        <v>38</v>
      </c>
      <c r="BN105" s="19" t="s">
        <v>38</v>
      </c>
      <c r="BO105" s="19" t="s">
        <v>38</v>
      </c>
      <c r="BP105" s="19" t="s">
        <v>38</v>
      </c>
      <c r="BQ105" s="19" t="s">
        <v>38</v>
      </c>
      <c r="BR105" s="19" t="s">
        <v>38</v>
      </c>
      <c r="BS105" s="19" t="s">
        <v>38</v>
      </c>
      <c r="BT105" s="19" t="s">
        <v>38</v>
      </c>
      <c r="BU105" s="19" t="s">
        <v>38</v>
      </c>
      <c r="BV105" s="19" t="s">
        <v>38</v>
      </c>
      <c r="BW105" s="19" t="s">
        <v>38</v>
      </c>
      <c r="BX105" s="19" t="s">
        <v>38</v>
      </c>
      <c r="BY105" s="85" t="s">
        <v>38</v>
      </c>
      <c r="BZ105" s="85" t="s">
        <v>38</v>
      </c>
      <c r="CA105" s="86" t="s">
        <v>38</v>
      </c>
    </row>
    <row r="106" spans="1:79">
      <c r="A106" s="21" t="s">
        <v>36</v>
      </c>
      <c r="B106" s="82">
        <v>254457.54797300001</v>
      </c>
      <c r="C106" s="82">
        <v>4505693.1189799998</v>
      </c>
      <c r="D106" s="19" t="s">
        <v>38</v>
      </c>
      <c r="E106" s="19" t="s">
        <v>38</v>
      </c>
      <c r="F106" s="19" t="s">
        <v>38</v>
      </c>
      <c r="G106" s="19">
        <v>0.22349999999999998</v>
      </c>
      <c r="H106" s="19" t="s">
        <v>38</v>
      </c>
      <c r="I106" s="19" t="s">
        <v>38</v>
      </c>
      <c r="J106" s="19" t="s">
        <v>38</v>
      </c>
      <c r="K106" s="19" t="s">
        <v>38</v>
      </c>
      <c r="L106" s="19" t="s">
        <v>38</v>
      </c>
      <c r="M106" s="19" t="s">
        <v>38</v>
      </c>
      <c r="N106" s="23" t="s">
        <v>38</v>
      </c>
      <c r="O106" s="23" t="s">
        <v>38</v>
      </c>
      <c r="P106" s="23" t="s">
        <v>38</v>
      </c>
      <c r="Q106" s="23" t="s">
        <v>38</v>
      </c>
      <c r="R106" s="23" t="s">
        <v>38</v>
      </c>
      <c r="S106" s="23" t="s">
        <v>38</v>
      </c>
      <c r="T106" s="19" t="s">
        <v>38</v>
      </c>
      <c r="U106" s="19" t="s">
        <v>38</v>
      </c>
      <c r="V106" s="19" t="s">
        <v>38</v>
      </c>
      <c r="W106" s="19" t="s">
        <v>38</v>
      </c>
      <c r="X106" s="19" t="s">
        <v>38</v>
      </c>
      <c r="Y106" s="19" t="s">
        <v>38</v>
      </c>
      <c r="Z106" s="19" t="s">
        <v>38</v>
      </c>
      <c r="AA106" s="19" t="s">
        <v>38</v>
      </c>
      <c r="AB106" s="19" t="s">
        <v>38</v>
      </c>
      <c r="AC106" s="19" t="s">
        <v>38</v>
      </c>
      <c r="AD106" s="19" t="s">
        <v>38</v>
      </c>
      <c r="AE106" s="19" t="s">
        <v>38</v>
      </c>
      <c r="AF106" s="19" t="s">
        <v>38</v>
      </c>
      <c r="AG106" s="19" t="s">
        <v>38</v>
      </c>
      <c r="AH106" s="19" t="s">
        <v>38</v>
      </c>
      <c r="AI106" s="19" t="s">
        <v>38</v>
      </c>
      <c r="AJ106" s="19" t="s">
        <v>38</v>
      </c>
      <c r="AK106" s="19" t="s">
        <v>38</v>
      </c>
      <c r="AL106" s="19" t="s">
        <v>38</v>
      </c>
      <c r="AM106" s="19" t="s">
        <v>38</v>
      </c>
      <c r="AN106" s="19" t="s">
        <v>38</v>
      </c>
      <c r="AO106" s="19" t="s">
        <v>38</v>
      </c>
      <c r="AP106" s="19" t="s">
        <v>38</v>
      </c>
      <c r="AQ106" s="19" t="s">
        <v>38</v>
      </c>
      <c r="AR106" s="19" t="s">
        <v>38</v>
      </c>
      <c r="AS106" s="19" t="s">
        <v>38</v>
      </c>
      <c r="AT106" s="19" t="s">
        <v>38</v>
      </c>
      <c r="AU106" s="19" t="s">
        <v>38</v>
      </c>
      <c r="AV106" s="19" t="s">
        <v>38</v>
      </c>
      <c r="AW106" s="19" t="s">
        <v>38</v>
      </c>
      <c r="AX106" s="19" t="s">
        <v>38</v>
      </c>
      <c r="AY106" s="19" t="s">
        <v>38</v>
      </c>
      <c r="AZ106" s="19" t="s">
        <v>38</v>
      </c>
      <c r="BA106" s="19" t="s">
        <v>38</v>
      </c>
      <c r="BB106" s="19" t="s">
        <v>38</v>
      </c>
      <c r="BC106" s="19" t="s">
        <v>38</v>
      </c>
      <c r="BD106" s="19" t="s">
        <v>38</v>
      </c>
      <c r="BE106" s="19" t="s">
        <v>38</v>
      </c>
      <c r="BF106" s="19" t="s">
        <v>38</v>
      </c>
      <c r="BG106" s="19" t="s">
        <v>38</v>
      </c>
      <c r="BH106" s="19" t="s">
        <v>38</v>
      </c>
      <c r="BI106" s="19" t="s">
        <v>38</v>
      </c>
      <c r="BJ106" s="19" t="s">
        <v>38</v>
      </c>
      <c r="BK106" s="19" t="s">
        <v>38</v>
      </c>
      <c r="BL106" s="19" t="s">
        <v>38</v>
      </c>
      <c r="BM106" s="19" t="s">
        <v>38</v>
      </c>
      <c r="BN106" s="19" t="s">
        <v>38</v>
      </c>
      <c r="BO106" s="19" t="s">
        <v>38</v>
      </c>
      <c r="BP106" s="19" t="s">
        <v>38</v>
      </c>
      <c r="BQ106" s="19" t="s">
        <v>38</v>
      </c>
      <c r="BR106" s="19" t="s">
        <v>38</v>
      </c>
      <c r="BS106" s="19" t="s">
        <v>38</v>
      </c>
      <c r="BT106" s="19" t="s">
        <v>38</v>
      </c>
      <c r="BU106" s="19" t="s">
        <v>38</v>
      </c>
      <c r="BV106" s="19" t="s">
        <v>38</v>
      </c>
      <c r="BW106" s="19" t="s">
        <v>38</v>
      </c>
      <c r="BX106" s="19" t="s">
        <v>38</v>
      </c>
      <c r="BY106" s="85" t="s">
        <v>38</v>
      </c>
      <c r="BZ106" s="85" t="s">
        <v>38</v>
      </c>
      <c r="CA106" s="86" t="s">
        <v>38</v>
      </c>
    </row>
    <row r="107" spans="1:79">
      <c r="A107" s="21" t="s">
        <v>37</v>
      </c>
      <c r="B107" s="82">
        <v>254458.456752</v>
      </c>
      <c r="C107" s="82">
        <v>4505694.83213</v>
      </c>
      <c r="D107" s="19" t="s">
        <v>38</v>
      </c>
      <c r="E107" s="19" t="s">
        <v>38</v>
      </c>
      <c r="F107" s="19" t="s">
        <v>38</v>
      </c>
      <c r="G107" s="19">
        <v>0.2555</v>
      </c>
      <c r="H107" s="19">
        <v>0.25750000000000001</v>
      </c>
      <c r="I107" s="19">
        <v>0.16400000000000001</v>
      </c>
      <c r="J107" s="19">
        <v>0.17149999999999999</v>
      </c>
      <c r="K107" s="19">
        <v>0.1595</v>
      </c>
      <c r="L107" s="19">
        <v>0.188</v>
      </c>
      <c r="M107" s="19">
        <v>0.13750000000000001</v>
      </c>
      <c r="N107" s="16">
        <v>0.20400000000000001</v>
      </c>
      <c r="O107" s="16">
        <v>0.14699999999999999</v>
      </c>
      <c r="P107" s="23" t="s">
        <v>38</v>
      </c>
      <c r="Q107" s="23" t="s">
        <v>38</v>
      </c>
      <c r="R107" s="23" t="s">
        <v>38</v>
      </c>
      <c r="S107" s="23" t="s">
        <v>38</v>
      </c>
      <c r="T107" s="16">
        <v>0.30399999999999999</v>
      </c>
      <c r="U107" s="16">
        <v>0.309</v>
      </c>
      <c r="V107" s="16">
        <v>0.29799999999999999</v>
      </c>
      <c r="W107" s="16">
        <v>0.28499999999999998</v>
      </c>
      <c r="X107" s="23">
        <v>0.30099999999999999</v>
      </c>
      <c r="Y107" s="24">
        <v>0.29899999999999999</v>
      </c>
      <c r="Z107" s="23">
        <v>0.32200000000000001</v>
      </c>
      <c r="AA107" s="23">
        <v>0.27900000000000003</v>
      </c>
      <c r="AB107" s="23">
        <v>0.26200000000000001</v>
      </c>
      <c r="AC107" s="24" t="s">
        <v>38</v>
      </c>
      <c r="AD107" s="16">
        <v>0.19800000000000001</v>
      </c>
      <c r="AE107" s="16">
        <v>0.189</v>
      </c>
      <c r="AF107" s="16">
        <v>0.17399999999999999</v>
      </c>
      <c r="AG107" s="16">
        <v>0.187</v>
      </c>
      <c r="AH107" s="16" t="s">
        <v>38</v>
      </c>
      <c r="AI107" s="16">
        <v>0.19900000000000001</v>
      </c>
      <c r="AJ107" s="16">
        <v>0.23699999999999999</v>
      </c>
      <c r="AK107" s="16">
        <v>0.33400000000000002</v>
      </c>
      <c r="AL107" s="16" t="s">
        <v>38</v>
      </c>
      <c r="AM107" s="16" t="s">
        <v>38</v>
      </c>
      <c r="AN107" s="40">
        <v>0.251</v>
      </c>
      <c r="AO107" s="19" t="s">
        <v>38</v>
      </c>
      <c r="AP107" s="19" t="s">
        <v>38</v>
      </c>
      <c r="AQ107" s="40">
        <v>0.21299999999999999</v>
      </c>
      <c r="AR107" s="19" t="s">
        <v>38</v>
      </c>
      <c r="AS107" s="40">
        <v>0.193</v>
      </c>
      <c r="AT107" s="19" t="s">
        <v>38</v>
      </c>
      <c r="AU107" s="40">
        <v>0.17</v>
      </c>
      <c r="AV107" s="19" t="s">
        <v>38</v>
      </c>
      <c r="AW107" s="19" t="s">
        <v>38</v>
      </c>
      <c r="AX107" s="19" t="s">
        <v>38</v>
      </c>
      <c r="AY107" s="40">
        <v>0.183</v>
      </c>
      <c r="AZ107" s="40" t="s">
        <v>38</v>
      </c>
      <c r="BA107" s="40">
        <v>0.1855</v>
      </c>
      <c r="BB107" s="49">
        <v>0.13850000000000001</v>
      </c>
      <c r="BC107" s="19" t="s">
        <v>38</v>
      </c>
      <c r="BD107" s="19" t="s">
        <v>38</v>
      </c>
      <c r="BE107" s="19" t="s">
        <v>38</v>
      </c>
      <c r="BF107" s="50">
        <v>0.1275</v>
      </c>
      <c r="BG107" s="40">
        <v>0.27849999999999997</v>
      </c>
      <c r="BH107" s="45" t="s">
        <v>38</v>
      </c>
      <c r="BI107" s="38">
        <v>0.26150000000000001</v>
      </c>
      <c r="BJ107" s="38">
        <v>0.29070000000000001</v>
      </c>
      <c r="BK107" s="38">
        <v>0.26500000000000001</v>
      </c>
      <c r="BL107" s="38">
        <v>0.26350000000000001</v>
      </c>
      <c r="BM107" s="38">
        <v>0.26150000000000001</v>
      </c>
      <c r="BN107" s="19" t="s">
        <v>38</v>
      </c>
      <c r="BO107" s="19" t="s">
        <v>38</v>
      </c>
      <c r="BP107" s="19" t="s">
        <v>38</v>
      </c>
      <c r="BQ107" s="19" t="s">
        <v>38</v>
      </c>
      <c r="BR107" s="19" t="s">
        <v>38</v>
      </c>
      <c r="BS107" s="19" t="s">
        <v>38</v>
      </c>
      <c r="BT107" s="19" t="s">
        <v>38</v>
      </c>
      <c r="BU107" s="19" t="s">
        <v>38</v>
      </c>
      <c r="BV107" s="19" t="s">
        <v>38</v>
      </c>
      <c r="BW107" s="19" t="s">
        <v>38</v>
      </c>
      <c r="BX107" s="19" t="s">
        <v>38</v>
      </c>
      <c r="BY107" s="85">
        <v>0.23799999999999999</v>
      </c>
      <c r="BZ107" s="85">
        <f>(0.373+0.369)/2</f>
        <v>0.371</v>
      </c>
      <c r="CA107" s="86">
        <v>0.26150000000000001</v>
      </c>
    </row>
    <row r="108" spans="1:79">
      <c r="V108" s="22"/>
      <c r="W108" s="22"/>
    </row>
    <row r="109" spans="1:79">
      <c r="V109" s="22"/>
      <c r="W109" s="22"/>
    </row>
    <row r="110" spans="1:79">
      <c r="V110" s="22"/>
      <c r="W110" s="22"/>
    </row>
    <row r="111" spans="1:79">
      <c r="V111" s="22"/>
      <c r="W111" s="22"/>
    </row>
    <row r="112" spans="1:79">
      <c r="V112" s="22"/>
      <c r="W112" s="22"/>
    </row>
    <row r="113" spans="22:23">
      <c r="V113" s="22"/>
      <c r="W113" s="22"/>
    </row>
    <row r="114" spans="22:23">
      <c r="W114" s="22"/>
    </row>
    <row r="115" spans="22:23">
      <c r="W115" s="22"/>
    </row>
  </sheetData>
  <phoneticPr fontId="27" type="noConversion"/>
  <pageMargins left="0.7" right="0.7" top="0.75" bottom="0.75" header="0.3" footer="0.3"/>
  <pageSetup orientation="portrait" horizontalDpi="200" verticalDpi="200" copies="0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A115"/>
  <sheetViews>
    <sheetView workbookViewId="0">
      <selection activeCell="BY108" sqref="BY108:CA218"/>
    </sheetView>
  </sheetViews>
  <sheetFormatPr defaultColWidth="8.85546875" defaultRowHeight="15.75"/>
  <cols>
    <col min="1" max="1" width="5.140625" style="15" bestFit="1" customWidth="1"/>
    <col min="2" max="3" width="19.7109375" style="82" customWidth="1"/>
    <col min="4" max="4" width="10.42578125" style="15" customWidth="1"/>
    <col min="5" max="5" width="11.42578125" style="15" customWidth="1"/>
    <col min="6" max="7" width="10.42578125" style="15" customWidth="1"/>
    <col min="8" max="8" width="9.85546875" style="15" customWidth="1"/>
    <col min="9" max="9" width="10" style="15" customWidth="1"/>
    <col min="10" max="10" width="10.42578125" style="15" customWidth="1"/>
    <col min="11" max="11" width="11.28515625" style="15" customWidth="1"/>
    <col min="12" max="13" width="10.42578125" style="15" customWidth="1"/>
    <col min="14" max="16" width="8.85546875" style="16"/>
    <col min="17" max="17" width="10" style="16" customWidth="1"/>
    <col min="18" max="18" width="13" style="16" customWidth="1"/>
    <col min="19" max="19" width="11.42578125" style="16" customWidth="1"/>
    <col min="20" max="20" width="11.42578125" style="19" customWidth="1"/>
    <col min="21" max="21" width="11.85546875" style="7" customWidth="1"/>
    <col min="22" max="22" width="11.7109375" style="19" customWidth="1"/>
    <col min="23" max="23" width="13.42578125" style="19" customWidth="1"/>
    <col min="24" max="24" width="11.42578125" style="19" bestFit="1" customWidth="1"/>
    <col min="25" max="25" width="12.85546875" style="19" bestFit="1" customWidth="1"/>
    <col min="26" max="26" width="11.42578125" style="19" bestFit="1" customWidth="1"/>
    <col min="27" max="28" width="12.85546875" style="19" bestFit="1" customWidth="1"/>
    <col min="29" max="29" width="12.85546875" style="7" bestFit="1" customWidth="1"/>
    <col min="30" max="30" width="12.85546875" style="24" bestFit="1" customWidth="1"/>
    <col min="31" max="32" width="11.42578125" style="24" bestFit="1" customWidth="1"/>
    <col min="33" max="33" width="12.85546875" style="24" bestFit="1" customWidth="1"/>
    <col min="34" max="34" width="11.42578125" style="24" bestFit="1" customWidth="1"/>
    <col min="35" max="37" width="12.85546875" style="24" bestFit="1" customWidth="1"/>
    <col min="38" max="39" width="14.28515625" style="24" bestFit="1" customWidth="1"/>
    <col min="40" max="76" width="10.42578125" style="15" customWidth="1"/>
    <col min="77" max="77" width="10.42578125" style="76" customWidth="1"/>
    <col min="78" max="78" width="11.42578125" style="76" customWidth="1"/>
    <col min="79" max="79" width="10.42578125" style="76" customWidth="1"/>
    <col min="80" max="16384" width="8.85546875" style="15"/>
  </cols>
  <sheetData>
    <row r="1" spans="1:79">
      <c r="A1" s="29" t="s">
        <v>57</v>
      </c>
      <c r="B1" s="82" t="s">
        <v>54</v>
      </c>
      <c r="C1" s="82" t="s">
        <v>55</v>
      </c>
      <c r="D1" s="19" t="s">
        <v>117</v>
      </c>
      <c r="E1" s="19" t="s">
        <v>116</v>
      </c>
      <c r="F1" s="19" t="s">
        <v>115</v>
      </c>
      <c r="G1" s="19" t="s">
        <v>114</v>
      </c>
      <c r="H1" s="19" t="s">
        <v>113</v>
      </c>
      <c r="I1" s="19" t="s">
        <v>112</v>
      </c>
      <c r="J1" s="19" t="s">
        <v>111</v>
      </c>
      <c r="K1" s="19" t="s">
        <v>110</v>
      </c>
      <c r="L1" s="19" t="s">
        <v>109</v>
      </c>
      <c r="M1" s="19" t="s">
        <v>108</v>
      </c>
      <c r="N1" s="16" t="s">
        <v>107</v>
      </c>
      <c r="O1" s="16" t="s">
        <v>106</v>
      </c>
      <c r="P1" s="16" t="s">
        <v>105</v>
      </c>
      <c r="Q1" s="16" t="s">
        <v>104</v>
      </c>
      <c r="R1" s="21" t="s">
        <v>103</v>
      </c>
      <c r="S1" s="23" t="s">
        <v>102</v>
      </c>
      <c r="T1" s="26" t="s">
        <v>82</v>
      </c>
      <c r="U1" s="26" t="s">
        <v>83</v>
      </c>
      <c r="V1" s="26" t="s">
        <v>84</v>
      </c>
      <c r="W1" s="26" t="s">
        <v>85</v>
      </c>
      <c r="X1" s="27" t="s">
        <v>86</v>
      </c>
      <c r="Y1" s="27" t="s">
        <v>87</v>
      </c>
      <c r="Z1" s="27" t="s">
        <v>88</v>
      </c>
      <c r="AA1" s="27" t="s">
        <v>89</v>
      </c>
      <c r="AB1" s="27" t="s">
        <v>90</v>
      </c>
      <c r="AC1" s="27" t="s">
        <v>91</v>
      </c>
      <c r="AD1" s="28" t="s">
        <v>92</v>
      </c>
      <c r="AE1" s="28" t="s">
        <v>93</v>
      </c>
      <c r="AF1" s="28" t="s">
        <v>94</v>
      </c>
      <c r="AG1" s="28" t="s">
        <v>95</v>
      </c>
      <c r="AH1" s="28" t="s">
        <v>96</v>
      </c>
      <c r="AI1" s="28" t="s">
        <v>97</v>
      </c>
      <c r="AJ1" s="28" t="s">
        <v>98</v>
      </c>
      <c r="AK1" s="28" t="s">
        <v>99</v>
      </c>
      <c r="AL1" s="28" t="s">
        <v>100</v>
      </c>
      <c r="AM1" s="28" t="s">
        <v>101</v>
      </c>
      <c r="AN1" s="31" t="s">
        <v>118</v>
      </c>
      <c r="AO1" s="31" t="s">
        <v>119</v>
      </c>
      <c r="AP1" s="31" t="s">
        <v>120</v>
      </c>
      <c r="AQ1" s="31" t="s">
        <v>121</v>
      </c>
      <c r="AR1" s="31" t="s">
        <v>122</v>
      </c>
      <c r="AS1" s="31" t="s">
        <v>123</v>
      </c>
      <c r="AT1" s="31" t="s">
        <v>124</v>
      </c>
      <c r="AU1" s="31" t="s">
        <v>125</v>
      </c>
      <c r="AV1" s="31" t="s">
        <v>126</v>
      </c>
      <c r="AW1" s="31" t="s">
        <v>127</v>
      </c>
      <c r="AX1" s="31" t="s">
        <v>128</v>
      </c>
      <c r="AY1" s="31" t="s">
        <v>129</v>
      </c>
      <c r="AZ1" s="31" t="s">
        <v>130</v>
      </c>
      <c r="BA1" s="31" t="s">
        <v>131</v>
      </c>
      <c r="BB1" s="32" t="s">
        <v>132</v>
      </c>
      <c r="BC1" s="32" t="s">
        <v>133</v>
      </c>
      <c r="BD1" s="32" t="s">
        <v>134</v>
      </c>
      <c r="BE1" s="32" t="s">
        <v>135</v>
      </c>
      <c r="BF1" s="32" t="s">
        <v>136</v>
      </c>
      <c r="BG1" s="31" t="s">
        <v>81</v>
      </c>
      <c r="BH1" s="31" t="s">
        <v>137</v>
      </c>
      <c r="BI1" s="33" t="s">
        <v>80</v>
      </c>
      <c r="BJ1" s="31" t="s">
        <v>138</v>
      </c>
      <c r="BK1" s="31" t="s">
        <v>139</v>
      </c>
      <c r="BL1" s="31" t="s">
        <v>140</v>
      </c>
      <c r="BM1" s="31" t="s">
        <v>141</v>
      </c>
      <c r="BN1" s="31" t="s">
        <v>142</v>
      </c>
      <c r="BO1" s="31" t="s">
        <v>143</v>
      </c>
      <c r="BP1" s="31" t="s">
        <v>144</v>
      </c>
      <c r="BQ1" s="33" t="s">
        <v>145</v>
      </c>
      <c r="BR1" s="34" t="s">
        <v>146</v>
      </c>
      <c r="BS1" s="34" t="s">
        <v>147</v>
      </c>
      <c r="BT1" s="34" t="s">
        <v>148</v>
      </c>
      <c r="BU1" s="35" t="s">
        <v>149</v>
      </c>
      <c r="BV1" s="34" t="s">
        <v>150</v>
      </c>
      <c r="BW1" s="35" t="s">
        <v>151</v>
      </c>
      <c r="BX1" s="35" t="s">
        <v>152</v>
      </c>
      <c r="BY1" s="69" t="s">
        <v>153</v>
      </c>
      <c r="BZ1" s="69" t="s">
        <v>154</v>
      </c>
      <c r="CA1" s="69" t="s">
        <v>155</v>
      </c>
    </row>
    <row r="2" spans="1:79">
      <c r="A2" s="29" t="s">
        <v>0</v>
      </c>
      <c r="B2" s="82">
        <v>254435.22415699999</v>
      </c>
      <c r="C2" s="82">
        <v>4505558.7383700004</v>
      </c>
      <c r="D2" s="20" t="s">
        <v>38</v>
      </c>
      <c r="E2" s="20">
        <v>0.17349999999999999</v>
      </c>
      <c r="F2" s="20">
        <v>0.191</v>
      </c>
      <c r="G2" s="20">
        <v>0.1835</v>
      </c>
      <c r="H2" s="20">
        <v>0.2145</v>
      </c>
      <c r="I2" s="20">
        <v>0.16149999999999998</v>
      </c>
      <c r="J2" s="20">
        <v>0.13650000000000001</v>
      </c>
      <c r="K2" s="20">
        <v>0.1105</v>
      </c>
      <c r="L2" s="20">
        <v>0.1145</v>
      </c>
      <c r="M2" s="20">
        <v>9.1999999999999998E-2</v>
      </c>
      <c r="N2" s="16">
        <v>0.112</v>
      </c>
      <c r="O2" s="16">
        <v>0.107</v>
      </c>
      <c r="P2" s="16">
        <v>0.11599999999999999</v>
      </c>
      <c r="Q2" s="16">
        <v>0.14649999999999999</v>
      </c>
      <c r="R2" s="16">
        <v>0.155</v>
      </c>
      <c r="S2" s="16">
        <v>0.19450000000000001</v>
      </c>
      <c r="T2" s="16">
        <v>0.153</v>
      </c>
      <c r="U2" s="16">
        <v>0.153</v>
      </c>
      <c r="V2" s="16">
        <v>0.16400000000000001</v>
      </c>
      <c r="W2" s="16">
        <v>0.13700000000000001</v>
      </c>
      <c r="X2" s="19">
        <v>0.13900000000000001</v>
      </c>
      <c r="Y2" s="7">
        <v>0.14799999999999999</v>
      </c>
      <c r="Z2" s="19">
        <v>0.14899999999999999</v>
      </c>
      <c r="AA2" s="19">
        <v>0.14000000000000001</v>
      </c>
      <c r="AB2" s="19">
        <v>0.153</v>
      </c>
      <c r="AC2" s="7">
        <v>0.16500000000000001</v>
      </c>
      <c r="AD2" s="24">
        <v>0.17799999999999999</v>
      </c>
      <c r="AE2" s="24">
        <v>0.189</v>
      </c>
      <c r="AF2" s="24">
        <v>0.16300000000000001</v>
      </c>
      <c r="AG2" s="24">
        <v>0.14599999999999999</v>
      </c>
      <c r="AH2" s="24">
        <v>0.18</v>
      </c>
      <c r="AI2" s="24">
        <v>0.16200000000000001</v>
      </c>
      <c r="AJ2" s="24">
        <v>0.13700000000000001</v>
      </c>
      <c r="AK2" s="24">
        <v>0.13200000000000001</v>
      </c>
      <c r="AL2" s="24">
        <v>0.191</v>
      </c>
      <c r="AM2" s="24">
        <v>0.23</v>
      </c>
      <c r="AN2" s="40">
        <v>0.14299999999999999</v>
      </c>
      <c r="AO2" s="40">
        <v>0.11700000000000001</v>
      </c>
      <c r="AP2" s="40">
        <v>7.9000000000000001E-2</v>
      </c>
      <c r="AQ2" s="40">
        <v>0.13200000000000001</v>
      </c>
      <c r="AR2" s="40">
        <v>0.129</v>
      </c>
      <c r="AS2" s="40">
        <v>0.123</v>
      </c>
      <c r="AT2" s="40">
        <v>0.121</v>
      </c>
      <c r="AU2" s="40">
        <v>0.129</v>
      </c>
      <c r="AV2" s="40">
        <v>0.127</v>
      </c>
      <c r="AW2" s="40">
        <v>0.11899999999999999</v>
      </c>
      <c r="AX2" s="40">
        <v>0.115</v>
      </c>
      <c r="AY2" s="40">
        <v>0.115</v>
      </c>
      <c r="AZ2" s="40">
        <v>0.11899999999999999</v>
      </c>
      <c r="BA2" s="40">
        <v>0.11799999999999999</v>
      </c>
      <c r="BB2" s="49" t="s">
        <v>38</v>
      </c>
      <c r="BC2" s="40">
        <v>7.3999999999999996E-2</v>
      </c>
      <c r="BD2" s="20" t="s">
        <v>38</v>
      </c>
      <c r="BE2" s="20" t="s">
        <v>38</v>
      </c>
      <c r="BF2" s="20" t="s">
        <v>38</v>
      </c>
      <c r="BG2" s="40">
        <v>0.17050000000000001</v>
      </c>
      <c r="BH2" s="38">
        <v>0.153</v>
      </c>
      <c r="BI2" s="38">
        <v>0.1615</v>
      </c>
      <c r="BJ2" s="38">
        <v>0.1555</v>
      </c>
      <c r="BK2" s="38">
        <v>0.12</v>
      </c>
      <c r="BL2" s="38">
        <v>0.1595</v>
      </c>
      <c r="BM2" s="38">
        <v>0.1575</v>
      </c>
      <c r="BN2" s="20" t="s">
        <v>38</v>
      </c>
      <c r="BO2" s="40">
        <v>0.14949999999999999</v>
      </c>
      <c r="BP2" s="38">
        <v>0.14949999999999999</v>
      </c>
      <c r="BQ2" s="38">
        <v>0.17199999999999999</v>
      </c>
      <c r="BR2" s="41">
        <v>0.16500000000000001</v>
      </c>
      <c r="BS2" s="20" t="s">
        <v>38</v>
      </c>
      <c r="BT2" s="41">
        <v>0.161</v>
      </c>
      <c r="BU2" s="42" t="s">
        <v>38</v>
      </c>
      <c r="BV2" s="41">
        <v>0.18049999999999999</v>
      </c>
      <c r="BW2" s="42">
        <v>0.151</v>
      </c>
      <c r="BX2" s="42">
        <v>0.13100000000000001</v>
      </c>
      <c r="BY2" s="85">
        <f>(0.275+0.29)/2</f>
        <v>0.28249999999999997</v>
      </c>
      <c r="BZ2" s="85">
        <f>(0.246+0.229)/2</f>
        <v>0.23749999999999999</v>
      </c>
      <c r="CA2" s="87">
        <v>0.32250000000000001</v>
      </c>
    </row>
    <row r="3" spans="1:79">
      <c r="A3" s="29" t="s">
        <v>1</v>
      </c>
      <c r="B3" s="82">
        <v>254434.193532</v>
      </c>
      <c r="C3" s="82">
        <v>4505555.6557400003</v>
      </c>
      <c r="D3" s="20" t="s">
        <v>38</v>
      </c>
      <c r="E3" s="20" t="s">
        <v>38</v>
      </c>
      <c r="F3" s="20" t="s">
        <v>38</v>
      </c>
      <c r="G3" s="20" t="s">
        <v>38</v>
      </c>
      <c r="H3" s="20" t="s">
        <v>38</v>
      </c>
      <c r="I3" s="20" t="s">
        <v>38</v>
      </c>
      <c r="J3" s="20" t="s">
        <v>38</v>
      </c>
      <c r="K3" s="20" t="s">
        <v>38</v>
      </c>
      <c r="L3" s="20" t="s">
        <v>38</v>
      </c>
      <c r="M3" s="20" t="s">
        <v>38</v>
      </c>
      <c r="N3" s="20" t="s">
        <v>38</v>
      </c>
      <c r="O3" s="20" t="s">
        <v>38</v>
      </c>
      <c r="P3" s="20" t="s">
        <v>38</v>
      </c>
      <c r="Q3" s="20" t="s">
        <v>38</v>
      </c>
      <c r="R3" s="20" t="s">
        <v>38</v>
      </c>
      <c r="S3" s="20" t="s">
        <v>38</v>
      </c>
      <c r="T3" s="20" t="s">
        <v>38</v>
      </c>
      <c r="U3" s="20" t="s">
        <v>38</v>
      </c>
      <c r="V3" s="20" t="s">
        <v>38</v>
      </c>
      <c r="W3" s="20" t="s">
        <v>38</v>
      </c>
      <c r="X3" s="20" t="s">
        <v>38</v>
      </c>
      <c r="Y3" s="20" t="s">
        <v>38</v>
      </c>
      <c r="Z3" s="20" t="s">
        <v>38</v>
      </c>
      <c r="AA3" s="20" t="s">
        <v>38</v>
      </c>
      <c r="AB3" s="20" t="s">
        <v>38</v>
      </c>
      <c r="AC3" s="20" t="s">
        <v>38</v>
      </c>
      <c r="AD3" s="20" t="s">
        <v>38</v>
      </c>
      <c r="AE3" s="20" t="s">
        <v>38</v>
      </c>
      <c r="AF3" s="20" t="s">
        <v>38</v>
      </c>
      <c r="AG3" s="20" t="s">
        <v>38</v>
      </c>
      <c r="AH3" s="20" t="s">
        <v>38</v>
      </c>
      <c r="AI3" s="20" t="s">
        <v>38</v>
      </c>
      <c r="AJ3" s="20" t="s">
        <v>38</v>
      </c>
      <c r="AK3" s="20" t="s">
        <v>38</v>
      </c>
      <c r="AL3" s="20" t="s">
        <v>38</v>
      </c>
      <c r="AM3" s="20" t="s">
        <v>38</v>
      </c>
      <c r="AN3" s="20" t="s">
        <v>38</v>
      </c>
      <c r="AO3" s="20" t="s">
        <v>38</v>
      </c>
      <c r="AP3" s="20" t="s">
        <v>38</v>
      </c>
      <c r="AQ3" s="20" t="s">
        <v>38</v>
      </c>
      <c r="AR3" s="20" t="s">
        <v>38</v>
      </c>
      <c r="AS3" s="20" t="s">
        <v>38</v>
      </c>
      <c r="AT3" s="20" t="s">
        <v>38</v>
      </c>
      <c r="AU3" s="20" t="s">
        <v>38</v>
      </c>
      <c r="AV3" s="20" t="s">
        <v>38</v>
      </c>
      <c r="AW3" s="20" t="s">
        <v>38</v>
      </c>
      <c r="AX3" s="20" t="s">
        <v>38</v>
      </c>
      <c r="AY3" s="20" t="s">
        <v>38</v>
      </c>
      <c r="AZ3" s="20" t="s">
        <v>38</v>
      </c>
      <c r="BA3" s="20" t="s">
        <v>38</v>
      </c>
      <c r="BB3" s="20" t="s">
        <v>38</v>
      </c>
      <c r="BC3" s="40">
        <v>0.1515</v>
      </c>
      <c r="BD3" s="20" t="s">
        <v>38</v>
      </c>
      <c r="BE3" s="20" t="s">
        <v>38</v>
      </c>
      <c r="BF3" s="20" t="s">
        <v>38</v>
      </c>
      <c r="BG3" s="20" t="s">
        <v>38</v>
      </c>
      <c r="BH3" s="20" t="s">
        <v>38</v>
      </c>
      <c r="BI3" s="20" t="s">
        <v>38</v>
      </c>
      <c r="BJ3" s="20" t="s">
        <v>38</v>
      </c>
      <c r="BK3" s="20" t="s">
        <v>38</v>
      </c>
      <c r="BL3" s="20" t="s">
        <v>38</v>
      </c>
      <c r="BM3" s="20" t="s">
        <v>38</v>
      </c>
      <c r="BN3" s="20" t="s">
        <v>38</v>
      </c>
      <c r="BO3" s="20" t="s">
        <v>38</v>
      </c>
      <c r="BP3" s="20" t="s">
        <v>38</v>
      </c>
      <c r="BQ3" s="20" t="s">
        <v>38</v>
      </c>
      <c r="BR3" s="20" t="s">
        <v>38</v>
      </c>
      <c r="BS3" s="20" t="s">
        <v>38</v>
      </c>
      <c r="BT3" s="20" t="s">
        <v>38</v>
      </c>
      <c r="BU3" s="20" t="s">
        <v>38</v>
      </c>
      <c r="BV3" s="20" t="s">
        <v>38</v>
      </c>
      <c r="BW3" s="20" t="s">
        <v>38</v>
      </c>
      <c r="BX3" s="20" t="s">
        <v>38</v>
      </c>
      <c r="BY3" s="85" t="s">
        <v>38</v>
      </c>
      <c r="BZ3" s="85" t="s">
        <v>38</v>
      </c>
      <c r="CA3" s="87" t="s">
        <v>38</v>
      </c>
    </row>
    <row r="4" spans="1:79">
      <c r="A4" s="29" t="s">
        <v>2</v>
      </c>
      <c r="B4" s="82">
        <v>254437.047169</v>
      </c>
      <c r="C4" s="82">
        <v>4505550.4602800002</v>
      </c>
      <c r="D4" s="20" t="s">
        <v>38</v>
      </c>
      <c r="E4" s="20" t="s">
        <v>38</v>
      </c>
      <c r="F4" s="20" t="s">
        <v>38</v>
      </c>
      <c r="G4" s="20" t="s">
        <v>38</v>
      </c>
      <c r="H4" s="20" t="s">
        <v>38</v>
      </c>
      <c r="I4" s="20" t="s">
        <v>38</v>
      </c>
      <c r="J4" s="20" t="s">
        <v>38</v>
      </c>
      <c r="K4" s="20" t="s">
        <v>38</v>
      </c>
      <c r="L4" s="20" t="s">
        <v>38</v>
      </c>
      <c r="M4" s="20" t="s">
        <v>38</v>
      </c>
      <c r="N4" s="20" t="s">
        <v>38</v>
      </c>
      <c r="O4" s="20" t="s">
        <v>38</v>
      </c>
      <c r="P4" s="20" t="s">
        <v>38</v>
      </c>
      <c r="Q4" s="20" t="s">
        <v>38</v>
      </c>
      <c r="R4" s="20" t="s">
        <v>38</v>
      </c>
      <c r="S4" s="20" t="s">
        <v>38</v>
      </c>
      <c r="T4" s="20" t="s">
        <v>38</v>
      </c>
      <c r="U4" s="20" t="s">
        <v>38</v>
      </c>
      <c r="V4" s="20" t="s">
        <v>38</v>
      </c>
      <c r="W4" s="20" t="s">
        <v>38</v>
      </c>
      <c r="X4" s="20" t="s">
        <v>38</v>
      </c>
      <c r="Y4" s="20" t="s">
        <v>38</v>
      </c>
      <c r="Z4" s="20" t="s">
        <v>38</v>
      </c>
      <c r="AA4" s="20" t="s">
        <v>38</v>
      </c>
      <c r="AB4" s="20" t="s">
        <v>38</v>
      </c>
      <c r="AC4" s="20" t="s">
        <v>38</v>
      </c>
      <c r="AD4" s="20" t="s">
        <v>38</v>
      </c>
      <c r="AE4" s="20" t="s">
        <v>38</v>
      </c>
      <c r="AF4" s="20" t="s">
        <v>38</v>
      </c>
      <c r="AG4" s="20" t="s">
        <v>38</v>
      </c>
      <c r="AH4" s="20" t="s">
        <v>38</v>
      </c>
      <c r="AI4" s="20" t="s">
        <v>38</v>
      </c>
      <c r="AJ4" s="20" t="s">
        <v>38</v>
      </c>
      <c r="AK4" s="20" t="s">
        <v>38</v>
      </c>
      <c r="AL4" s="20" t="s">
        <v>38</v>
      </c>
      <c r="AM4" s="20" t="s">
        <v>38</v>
      </c>
      <c r="AN4" s="20" t="s">
        <v>38</v>
      </c>
      <c r="AO4" s="20" t="s">
        <v>38</v>
      </c>
      <c r="AP4" s="20" t="s">
        <v>38</v>
      </c>
      <c r="AQ4" s="20" t="s">
        <v>38</v>
      </c>
      <c r="AR4" s="20" t="s">
        <v>38</v>
      </c>
      <c r="AS4" s="20" t="s">
        <v>38</v>
      </c>
      <c r="AT4" s="20" t="s">
        <v>38</v>
      </c>
      <c r="AU4" s="20" t="s">
        <v>38</v>
      </c>
      <c r="AV4" s="20" t="s">
        <v>38</v>
      </c>
      <c r="AW4" s="20" t="s">
        <v>38</v>
      </c>
      <c r="AX4" s="20" t="s">
        <v>38</v>
      </c>
      <c r="AY4" s="20" t="s">
        <v>38</v>
      </c>
      <c r="AZ4" s="20" t="s">
        <v>38</v>
      </c>
      <c r="BA4" s="20" t="s">
        <v>38</v>
      </c>
      <c r="BB4" s="20" t="s">
        <v>38</v>
      </c>
      <c r="BC4" s="20" t="s">
        <v>38</v>
      </c>
      <c r="BD4" s="20" t="s">
        <v>38</v>
      </c>
      <c r="BE4" s="20" t="s">
        <v>38</v>
      </c>
      <c r="BF4" s="20" t="s">
        <v>38</v>
      </c>
      <c r="BG4" s="20" t="s">
        <v>38</v>
      </c>
      <c r="BH4" s="20" t="s">
        <v>38</v>
      </c>
      <c r="BI4" s="20" t="s">
        <v>38</v>
      </c>
      <c r="BJ4" s="20" t="s">
        <v>38</v>
      </c>
      <c r="BK4" s="20" t="s">
        <v>38</v>
      </c>
      <c r="BL4" s="20" t="s">
        <v>38</v>
      </c>
      <c r="BM4" s="20" t="s">
        <v>38</v>
      </c>
      <c r="BN4" s="20" t="s">
        <v>38</v>
      </c>
      <c r="BO4" s="20" t="s">
        <v>38</v>
      </c>
      <c r="BP4" s="20" t="s">
        <v>38</v>
      </c>
      <c r="BQ4" s="20" t="s">
        <v>38</v>
      </c>
      <c r="BR4" s="20" t="s">
        <v>38</v>
      </c>
      <c r="BS4" s="20" t="s">
        <v>38</v>
      </c>
      <c r="BT4" s="20" t="s">
        <v>38</v>
      </c>
      <c r="BU4" s="20" t="s">
        <v>38</v>
      </c>
      <c r="BV4" s="20" t="s">
        <v>38</v>
      </c>
      <c r="BW4" s="20" t="s">
        <v>38</v>
      </c>
      <c r="BX4" s="20" t="s">
        <v>38</v>
      </c>
      <c r="BY4" s="85" t="s">
        <v>38</v>
      </c>
      <c r="BZ4" s="85" t="s">
        <v>38</v>
      </c>
      <c r="CA4" s="87" t="s">
        <v>38</v>
      </c>
    </row>
    <row r="5" spans="1:79">
      <c r="A5" s="29" t="s">
        <v>3</v>
      </c>
      <c r="B5" s="82">
        <v>254438.863595</v>
      </c>
      <c r="C5" s="82">
        <v>4505538.7464199997</v>
      </c>
      <c r="D5" s="20" t="s">
        <v>38</v>
      </c>
      <c r="E5" s="20" t="s">
        <v>38</v>
      </c>
      <c r="F5" s="20" t="s">
        <v>38</v>
      </c>
      <c r="G5" s="20" t="s">
        <v>38</v>
      </c>
      <c r="H5" s="20" t="s">
        <v>38</v>
      </c>
      <c r="I5" s="20" t="s">
        <v>38</v>
      </c>
      <c r="J5" s="20" t="s">
        <v>38</v>
      </c>
      <c r="K5" s="20" t="s">
        <v>38</v>
      </c>
      <c r="L5" s="20" t="s">
        <v>38</v>
      </c>
      <c r="M5" s="20" t="s">
        <v>38</v>
      </c>
      <c r="N5" s="20" t="s">
        <v>38</v>
      </c>
      <c r="O5" s="20" t="s">
        <v>38</v>
      </c>
      <c r="P5" s="20" t="s">
        <v>38</v>
      </c>
      <c r="Q5" s="20" t="s">
        <v>38</v>
      </c>
      <c r="R5" s="20" t="s">
        <v>38</v>
      </c>
      <c r="S5" s="20" t="s">
        <v>38</v>
      </c>
      <c r="T5" s="20" t="s">
        <v>38</v>
      </c>
      <c r="U5" s="20" t="s">
        <v>38</v>
      </c>
      <c r="V5" s="20" t="s">
        <v>38</v>
      </c>
      <c r="W5" s="20" t="s">
        <v>38</v>
      </c>
      <c r="X5" s="20" t="s">
        <v>38</v>
      </c>
      <c r="Y5" s="20" t="s">
        <v>38</v>
      </c>
      <c r="Z5" s="20" t="s">
        <v>38</v>
      </c>
      <c r="AA5" s="20" t="s">
        <v>38</v>
      </c>
      <c r="AB5" s="20" t="s">
        <v>38</v>
      </c>
      <c r="AC5" s="20" t="s">
        <v>38</v>
      </c>
      <c r="AD5" s="20" t="s">
        <v>38</v>
      </c>
      <c r="AE5" s="20" t="s">
        <v>38</v>
      </c>
      <c r="AF5" s="20" t="s">
        <v>38</v>
      </c>
      <c r="AG5" s="20" t="s">
        <v>38</v>
      </c>
      <c r="AH5" s="20" t="s">
        <v>38</v>
      </c>
      <c r="AI5" s="20" t="s">
        <v>38</v>
      </c>
      <c r="AJ5" s="20" t="s">
        <v>38</v>
      </c>
      <c r="AK5" s="20" t="s">
        <v>38</v>
      </c>
      <c r="AL5" s="20" t="s">
        <v>38</v>
      </c>
      <c r="AM5" s="20" t="s">
        <v>38</v>
      </c>
      <c r="AN5" s="20" t="s">
        <v>38</v>
      </c>
      <c r="AO5" s="20" t="s">
        <v>38</v>
      </c>
      <c r="AP5" s="20" t="s">
        <v>38</v>
      </c>
      <c r="AQ5" s="20" t="s">
        <v>38</v>
      </c>
      <c r="AR5" s="20" t="s">
        <v>38</v>
      </c>
      <c r="AS5" s="20" t="s">
        <v>38</v>
      </c>
      <c r="AT5" s="20" t="s">
        <v>38</v>
      </c>
      <c r="AU5" s="20" t="s">
        <v>38</v>
      </c>
      <c r="AV5" s="20" t="s">
        <v>38</v>
      </c>
      <c r="AW5" s="20" t="s">
        <v>38</v>
      </c>
      <c r="AX5" s="20" t="s">
        <v>38</v>
      </c>
      <c r="AY5" s="20" t="s">
        <v>38</v>
      </c>
      <c r="AZ5" s="20" t="s">
        <v>38</v>
      </c>
      <c r="BA5" s="20" t="s">
        <v>38</v>
      </c>
      <c r="BB5" s="20" t="s">
        <v>38</v>
      </c>
      <c r="BC5" s="20" t="s">
        <v>38</v>
      </c>
      <c r="BD5" s="20" t="s">
        <v>38</v>
      </c>
      <c r="BE5" s="20" t="s">
        <v>38</v>
      </c>
      <c r="BF5" s="20" t="s">
        <v>38</v>
      </c>
      <c r="BG5" s="20" t="s">
        <v>38</v>
      </c>
      <c r="BH5" s="20" t="s">
        <v>38</v>
      </c>
      <c r="BI5" s="20" t="s">
        <v>38</v>
      </c>
      <c r="BJ5" s="20" t="s">
        <v>38</v>
      </c>
      <c r="BK5" s="20" t="s">
        <v>38</v>
      </c>
      <c r="BL5" s="20" t="s">
        <v>38</v>
      </c>
      <c r="BM5" s="20" t="s">
        <v>38</v>
      </c>
      <c r="BN5" s="20" t="s">
        <v>38</v>
      </c>
      <c r="BO5" s="20" t="s">
        <v>38</v>
      </c>
      <c r="BP5" s="20" t="s">
        <v>38</v>
      </c>
      <c r="BQ5" s="20" t="s">
        <v>38</v>
      </c>
      <c r="BR5" s="20" t="s">
        <v>38</v>
      </c>
      <c r="BS5" s="20" t="s">
        <v>38</v>
      </c>
      <c r="BT5" s="20" t="s">
        <v>38</v>
      </c>
      <c r="BU5" s="20" t="s">
        <v>38</v>
      </c>
      <c r="BV5" s="20" t="s">
        <v>38</v>
      </c>
      <c r="BW5" s="20" t="s">
        <v>38</v>
      </c>
      <c r="BX5" s="20" t="s">
        <v>38</v>
      </c>
      <c r="BY5" s="85" t="s">
        <v>38</v>
      </c>
      <c r="BZ5" s="85" t="s">
        <v>38</v>
      </c>
      <c r="CA5" s="87" t="s">
        <v>38</v>
      </c>
    </row>
    <row r="6" spans="1:79">
      <c r="A6" s="29" t="s">
        <v>4</v>
      </c>
      <c r="B6" s="82">
        <v>254443.36339700001</v>
      </c>
      <c r="C6" s="82">
        <v>4505517.0831000004</v>
      </c>
      <c r="D6" s="20" t="s">
        <v>38</v>
      </c>
      <c r="E6" s="20" t="s">
        <v>38</v>
      </c>
      <c r="F6" s="20" t="s">
        <v>38</v>
      </c>
      <c r="G6" s="20" t="s">
        <v>38</v>
      </c>
      <c r="H6" s="20" t="s">
        <v>38</v>
      </c>
      <c r="I6" s="20" t="s">
        <v>38</v>
      </c>
      <c r="J6" s="20" t="s">
        <v>38</v>
      </c>
      <c r="K6" s="20" t="s">
        <v>38</v>
      </c>
      <c r="L6" s="20" t="s">
        <v>38</v>
      </c>
      <c r="M6" s="20" t="s">
        <v>38</v>
      </c>
      <c r="N6" s="20" t="s">
        <v>38</v>
      </c>
      <c r="O6" s="20" t="s">
        <v>38</v>
      </c>
      <c r="P6" s="20" t="s">
        <v>38</v>
      </c>
      <c r="Q6" s="20" t="s">
        <v>38</v>
      </c>
      <c r="R6" s="20" t="s">
        <v>38</v>
      </c>
      <c r="S6" s="20" t="s">
        <v>38</v>
      </c>
      <c r="T6" s="20" t="s">
        <v>38</v>
      </c>
      <c r="U6" s="20" t="s">
        <v>38</v>
      </c>
      <c r="V6" s="20" t="s">
        <v>38</v>
      </c>
      <c r="W6" s="20" t="s">
        <v>38</v>
      </c>
      <c r="X6" s="20" t="s">
        <v>38</v>
      </c>
      <c r="Y6" s="20" t="s">
        <v>38</v>
      </c>
      <c r="Z6" s="20" t="s">
        <v>38</v>
      </c>
      <c r="AA6" s="20" t="s">
        <v>38</v>
      </c>
      <c r="AB6" s="20" t="s">
        <v>38</v>
      </c>
      <c r="AC6" s="20" t="s">
        <v>38</v>
      </c>
      <c r="AD6" s="20" t="s">
        <v>38</v>
      </c>
      <c r="AE6" s="20" t="s">
        <v>38</v>
      </c>
      <c r="AF6" s="20" t="s">
        <v>38</v>
      </c>
      <c r="AG6" s="20" t="s">
        <v>38</v>
      </c>
      <c r="AH6" s="20" t="s">
        <v>38</v>
      </c>
      <c r="AI6" s="20" t="s">
        <v>38</v>
      </c>
      <c r="AJ6" s="20" t="s">
        <v>38</v>
      </c>
      <c r="AK6" s="20" t="s">
        <v>38</v>
      </c>
      <c r="AL6" s="20" t="s">
        <v>38</v>
      </c>
      <c r="AM6" s="20" t="s">
        <v>38</v>
      </c>
      <c r="AN6" s="20" t="s">
        <v>38</v>
      </c>
      <c r="AO6" s="20" t="s">
        <v>38</v>
      </c>
      <c r="AP6" s="20" t="s">
        <v>38</v>
      </c>
      <c r="AQ6" s="20" t="s">
        <v>38</v>
      </c>
      <c r="AR6" s="20" t="s">
        <v>38</v>
      </c>
      <c r="AS6" s="20" t="s">
        <v>38</v>
      </c>
      <c r="AT6" s="20" t="s">
        <v>38</v>
      </c>
      <c r="AU6" s="20" t="s">
        <v>38</v>
      </c>
      <c r="AV6" s="20" t="s">
        <v>38</v>
      </c>
      <c r="AW6" s="20" t="s">
        <v>38</v>
      </c>
      <c r="AX6" s="20" t="s">
        <v>38</v>
      </c>
      <c r="AY6" s="20" t="s">
        <v>38</v>
      </c>
      <c r="AZ6" s="20" t="s">
        <v>38</v>
      </c>
      <c r="BA6" s="20" t="s">
        <v>38</v>
      </c>
      <c r="BB6" s="20" t="s">
        <v>38</v>
      </c>
      <c r="BC6" s="20" t="s">
        <v>38</v>
      </c>
      <c r="BD6" s="20" t="s">
        <v>38</v>
      </c>
      <c r="BE6" s="20" t="s">
        <v>38</v>
      </c>
      <c r="BF6" s="20" t="s">
        <v>38</v>
      </c>
      <c r="BG6" s="20" t="s">
        <v>38</v>
      </c>
      <c r="BH6" s="20" t="s">
        <v>38</v>
      </c>
      <c r="BI6" s="20" t="s">
        <v>38</v>
      </c>
      <c r="BJ6" s="20" t="s">
        <v>38</v>
      </c>
      <c r="BK6" s="20" t="s">
        <v>38</v>
      </c>
      <c r="BL6" s="20" t="s">
        <v>38</v>
      </c>
      <c r="BM6" s="20" t="s">
        <v>38</v>
      </c>
      <c r="BN6" s="20" t="s">
        <v>38</v>
      </c>
      <c r="BO6" s="20" t="s">
        <v>38</v>
      </c>
      <c r="BP6" s="20" t="s">
        <v>38</v>
      </c>
      <c r="BQ6" s="20" t="s">
        <v>38</v>
      </c>
      <c r="BR6" s="20" t="s">
        <v>38</v>
      </c>
      <c r="BS6" s="20" t="s">
        <v>38</v>
      </c>
      <c r="BT6" s="20" t="s">
        <v>38</v>
      </c>
      <c r="BU6" s="20" t="s">
        <v>38</v>
      </c>
      <c r="BV6" s="20" t="s">
        <v>38</v>
      </c>
      <c r="BW6" s="20" t="s">
        <v>38</v>
      </c>
      <c r="BX6" s="20" t="s">
        <v>38</v>
      </c>
      <c r="BY6" s="85" t="s">
        <v>38</v>
      </c>
      <c r="BZ6" s="84" t="s">
        <v>38</v>
      </c>
      <c r="CA6" s="87" t="s">
        <v>38</v>
      </c>
    </row>
    <row r="7" spans="1:79">
      <c r="A7" s="29" t="s">
        <v>5</v>
      </c>
      <c r="B7" s="82">
        <v>254468.858427</v>
      </c>
      <c r="C7" s="82">
        <v>4505567.6974299997</v>
      </c>
      <c r="D7" s="20" t="s">
        <v>38</v>
      </c>
      <c r="E7" s="20" t="s">
        <v>38</v>
      </c>
      <c r="F7" s="20" t="s">
        <v>38</v>
      </c>
      <c r="G7" s="20" t="s">
        <v>38</v>
      </c>
      <c r="H7" s="20" t="s">
        <v>38</v>
      </c>
      <c r="I7" s="20" t="s">
        <v>38</v>
      </c>
      <c r="J7" s="20" t="s">
        <v>38</v>
      </c>
      <c r="K7" s="20" t="s">
        <v>38</v>
      </c>
      <c r="L7" s="20" t="s">
        <v>38</v>
      </c>
      <c r="M7" s="20" t="s">
        <v>38</v>
      </c>
      <c r="N7" s="20" t="s">
        <v>38</v>
      </c>
      <c r="O7" s="20" t="s">
        <v>38</v>
      </c>
      <c r="P7" s="20" t="s">
        <v>38</v>
      </c>
      <c r="Q7" s="20" t="s">
        <v>38</v>
      </c>
      <c r="R7" s="20" t="s">
        <v>38</v>
      </c>
      <c r="S7" s="20" t="s">
        <v>38</v>
      </c>
      <c r="T7" s="20" t="s">
        <v>38</v>
      </c>
      <c r="U7" s="20" t="s">
        <v>38</v>
      </c>
      <c r="V7" s="20" t="s">
        <v>38</v>
      </c>
      <c r="W7" s="20" t="s">
        <v>38</v>
      </c>
      <c r="X7" s="20" t="s">
        <v>38</v>
      </c>
      <c r="Y7" s="20" t="s">
        <v>38</v>
      </c>
      <c r="Z7" s="20" t="s">
        <v>38</v>
      </c>
      <c r="AA7" s="20" t="s">
        <v>38</v>
      </c>
      <c r="AB7" s="20" t="s">
        <v>38</v>
      </c>
      <c r="AC7" s="20" t="s">
        <v>38</v>
      </c>
      <c r="AD7" s="20" t="s">
        <v>38</v>
      </c>
      <c r="AE7" s="20" t="s">
        <v>38</v>
      </c>
      <c r="AF7" s="20" t="s">
        <v>38</v>
      </c>
      <c r="AG7" s="20" t="s">
        <v>38</v>
      </c>
      <c r="AH7" s="20" t="s">
        <v>38</v>
      </c>
      <c r="AI7" s="20" t="s">
        <v>38</v>
      </c>
      <c r="AJ7" s="20" t="s">
        <v>38</v>
      </c>
      <c r="AK7" s="20" t="s">
        <v>38</v>
      </c>
      <c r="AL7" s="20" t="s">
        <v>38</v>
      </c>
      <c r="AM7" s="20" t="s">
        <v>38</v>
      </c>
      <c r="AN7" s="20" t="s">
        <v>38</v>
      </c>
      <c r="AO7" s="20" t="s">
        <v>38</v>
      </c>
      <c r="AP7" s="20" t="s">
        <v>38</v>
      </c>
      <c r="AQ7" s="20" t="s">
        <v>38</v>
      </c>
      <c r="AR7" s="20" t="s">
        <v>38</v>
      </c>
      <c r="AS7" s="20" t="s">
        <v>38</v>
      </c>
      <c r="AT7" s="20" t="s">
        <v>38</v>
      </c>
      <c r="AU7" s="20" t="s">
        <v>38</v>
      </c>
      <c r="AV7" s="20" t="s">
        <v>38</v>
      </c>
      <c r="AW7" s="20" t="s">
        <v>38</v>
      </c>
      <c r="AX7" s="20" t="s">
        <v>38</v>
      </c>
      <c r="AY7" s="20" t="s">
        <v>38</v>
      </c>
      <c r="AZ7" s="20" t="s">
        <v>38</v>
      </c>
      <c r="BA7" s="20" t="s">
        <v>38</v>
      </c>
      <c r="BB7" s="20" t="s">
        <v>38</v>
      </c>
      <c r="BC7" s="20" t="s">
        <v>38</v>
      </c>
      <c r="BD7" s="20" t="s">
        <v>38</v>
      </c>
      <c r="BE7" s="20" t="s">
        <v>38</v>
      </c>
      <c r="BF7" s="20" t="s">
        <v>38</v>
      </c>
      <c r="BG7" s="20" t="s">
        <v>38</v>
      </c>
      <c r="BH7" s="20" t="s">
        <v>38</v>
      </c>
      <c r="BI7" s="20" t="s">
        <v>38</v>
      </c>
      <c r="BJ7" s="20" t="s">
        <v>38</v>
      </c>
      <c r="BK7" s="20" t="s">
        <v>38</v>
      </c>
      <c r="BL7" s="20" t="s">
        <v>38</v>
      </c>
      <c r="BM7" s="20" t="s">
        <v>38</v>
      </c>
      <c r="BN7" s="20" t="s">
        <v>38</v>
      </c>
      <c r="BO7" s="20" t="s">
        <v>38</v>
      </c>
      <c r="BP7" s="20" t="s">
        <v>38</v>
      </c>
      <c r="BQ7" s="20" t="s">
        <v>38</v>
      </c>
      <c r="BR7" s="20" t="s">
        <v>38</v>
      </c>
      <c r="BS7" s="20" t="s">
        <v>38</v>
      </c>
      <c r="BT7" s="20" t="s">
        <v>38</v>
      </c>
      <c r="BU7" s="20" t="s">
        <v>38</v>
      </c>
      <c r="BV7" s="20" t="s">
        <v>38</v>
      </c>
      <c r="BW7" s="20" t="s">
        <v>38</v>
      </c>
      <c r="BX7" s="20" t="s">
        <v>38</v>
      </c>
      <c r="BY7" s="61" t="s">
        <v>38</v>
      </c>
      <c r="BZ7" s="61" t="s">
        <v>38</v>
      </c>
      <c r="CA7" s="87" t="s">
        <v>38</v>
      </c>
    </row>
    <row r="8" spans="1:79">
      <c r="A8" s="29" t="s">
        <v>6</v>
      </c>
      <c r="B8" s="82">
        <v>254476.14911900001</v>
      </c>
      <c r="C8" s="82">
        <v>4505545.3174999999</v>
      </c>
      <c r="D8" s="20" t="s">
        <v>38</v>
      </c>
      <c r="E8" s="20" t="s">
        <v>38</v>
      </c>
      <c r="F8" s="20" t="s">
        <v>38</v>
      </c>
      <c r="G8" s="20" t="s">
        <v>38</v>
      </c>
      <c r="H8" s="20" t="s">
        <v>38</v>
      </c>
      <c r="I8" s="20" t="s">
        <v>38</v>
      </c>
      <c r="J8" s="20" t="s">
        <v>38</v>
      </c>
      <c r="K8" s="20" t="s">
        <v>38</v>
      </c>
      <c r="L8" s="20" t="s">
        <v>38</v>
      </c>
      <c r="M8" s="20" t="s">
        <v>38</v>
      </c>
      <c r="N8" s="20" t="s">
        <v>38</v>
      </c>
      <c r="O8" s="20" t="s">
        <v>38</v>
      </c>
      <c r="P8" s="20" t="s">
        <v>38</v>
      </c>
      <c r="Q8" s="20" t="s">
        <v>38</v>
      </c>
      <c r="R8" s="20" t="s">
        <v>38</v>
      </c>
      <c r="S8" s="20" t="s">
        <v>38</v>
      </c>
      <c r="T8" s="20" t="s">
        <v>38</v>
      </c>
      <c r="U8" s="20" t="s">
        <v>38</v>
      </c>
      <c r="V8" s="20" t="s">
        <v>38</v>
      </c>
      <c r="W8" s="20" t="s">
        <v>38</v>
      </c>
      <c r="X8" s="20" t="s">
        <v>38</v>
      </c>
      <c r="Y8" s="20" t="s">
        <v>38</v>
      </c>
      <c r="Z8" s="20" t="s">
        <v>38</v>
      </c>
      <c r="AA8" s="20" t="s">
        <v>38</v>
      </c>
      <c r="AB8" s="20" t="s">
        <v>38</v>
      </c>
      <c r="AC8" s="20" t="s">
        <v>38</v>
      </c>
      <c r="AD8" s="20" t="s">
        <v>38</v>
      </c>
      <c r="AE8" s="20" t="s">
        <v>38</v>
      </c>
      <c r="AF8" s="20" t="s">
        <v>38</v>
      </c>
      <c r="AG8" s="20" t="s">
        <v>38</v>
      </c>
      <c r="AH8" s="20" t="s">
        <v>38</v>
      </c>
      <c r="AI8" s="20" t="s">
        <v>38</v>
      </c>
      <c r="AJ8" s="20" t="s">
        <v>38</v>
      </c>
      <c r="AK8" s="20" t="s">
        <v>38</v>
      </c>
      <c r="AL8" s="20" t="s">
        <v>38</v>
      </c>
      <c r="AM8" s="20" t="s">
        <v>38</v>
      </c>
      <c r="AN8" s="20" t="s">
        <v>38</v>
      </c>
      <c r="AO8" s="20" t="s">
        <v>38</v>
      </c>
      <c r="AP8" s="20" t="s">
        <v>38</v>
      </c>
      <c r="AQ8" s="20" t="s">
        <v>38</v>
      </c>
      <c r="AR8" s="20" t="s">
        <v>38</v>
      </c>
      <c r="AS8" s="20" t="s">
        <v>38</v>
      </c>
      <c r="AT8" s="20" t="s">
        <v>38</v>
      </c>
      <c r="AU8" s="20" t="s">
        <v>38</v>
      </c>
      <c r="AV8" s="20" t="s">
        <v>38</v>
      </c>
      <c r="AW8" s="20" t="s">
        <v>38</v>
      </c>
      <c r="AX8" s="20" t="s">
        <v>38</v>
      </c>
      <c r="AY8" s="20" t="s">
        <v>38</v>
      </c>
      <c r="AZ8" s="20" t="s">
        <v>38</v>
      </c>
      <c r="BA8" s="20" t="s">
        <v>38</v>
      </c>
      <c r="BB8" s="20" t="s">
        <v>38</v>
      </c>
      <c r="BC8" s="20" t="s">
        <v>38</v>
      </c>
      <c r="BD8" s="20" t="s">
        <v>38</v>
      </c>
      <c r="BE8" s="20" t="s">
        <v>38</v>
      </c>
      <c r="BF8" s="20" t="s">
        <v>38</v>
      </c>
      <c r="BG8" s="20" t="s">
        <v>38</v>
      </c>
      <c r="BH8" s="20" t="s">
        <v>38</v>
      </c>
      <c r="BI8" s="20" t="s">
        <v>38</v>
      </c>
      <c r="BJ8" s="20" t="s">
        <v>38</v>
      </c>
      <c r="BK8" s="20" t="s">
        <v>38</v>
      </c>
      <c r="BL8" s="20" t="s">
        <v>38</v>
      </c>
      <c r="BM8" s="20" t="s">
        <v>38</v>
      </c>
      <c r="BN8" s="20" t="s">
        <v>38</v>
      </c>
      <c r="BO8" s="20" t="s">
        <v>38</v>
      </c>
      <c r="BP8" s="20" t="s">
        <v>38</v>
      </c>
      <c r="BQ8" s="20" t="s">
        <v>38</v>
      </c>
      <c r="BR8" s="20" t="s">
        <v>38</v>
      </c>
      <c r="BS8" s="20" t="s">
        <v>38</v>
      </c>
      <c r="BT8" s="20" t="s">
        <v>38</v>
      </c>
      <c r="BU8" s="20" t="s">
        <v>38</v>
      </c>
      <c r="BV8" s="20" t="s">
        <v>38</v>
      </c>
      <c r="BW8" s="20" t="s">
        <v>38</v>
      </c>
      <c r="BX8" s="20" t="s">
        <v>38</v>
      </c>
      <c r="BY8" s="61" t="s">
        <v>38</v>
      </c>
      <c r="BZ8" s="61" t="s">
        <v>38</v>
      </c>
      <c r="CA8" s="87" t="s">
        <v>38</v>
      </c>
    </row>
    <row r="9" spans="1:79">
      <c r="A9" s="29" t="s">
        <v>7</v>
      </c>
      <c r="B9" s="82">
        <v>254480.78639699999</v>
      </c>
      <c r="C9" s="82">
        <v>4505534.9529600004</v>
      </c>
      <c r="D9" s="20" t="s">
        <v>38</v>
      </c>
      <c r="E9" s="20" t="s">
        <v>38</v>
      </c>
      <c r="F9" s="20" t="s">
        <v>38</v>
      </c>
      <c r="G9" s="20" t="s">
        <v>38</v>
      </c>
      <c r="H9" s="20" t="s">
        <v>38</v>
      </c>
      <c r="I9" s="20" t="s">
        <v>38</v>
      </c>
      <c r="J9" s="20" t="s">
        <v>38</v>
      </c>
      <c r="K9" s="20" t="s">
        <v>38</v>
      </c>
      <c r="L9" s="20" t="s">
        <v>38</v>
      </c>
      <c r="M9" s="20" t="s">
        <v>38</v>
      </c>
      <c r="N9" s="20" t="s">
        <v>38</v>
      </c>
      <c r="O9" s="20" t="s">
        <v>38</v>
      </c>
      <c r="P9" s="20" t="s">
        <v>38</v>
      </c>
      <c r="Q9" s="20" t="s">
        <v>38</v>
      </c>
      <c r="R9" s="20" t="s">
        <v>38</v>
      </c>
      <c r="S9" s="20" t="s">
        <v>38</v>
      </c>
      <c r="T9" s="20" t="s">
        <v>38</v>
      </c>
      <c r="U9" s="20" t="s">
        <v>38</v>
      </c>
      <c r="V9" s="20" t="s">
        <v>38</v>
      </c>
      <c r="W9" s="20" t="s">
        <v>38</v>
      </c>
      <c r="X9" s="20" t="s">
        <v>38</v>
      </c>
      <c r="Y9" s="20" t="s">
        <v>38</v>
      </c>
      <c r="Z9" s="20" t="s">
        <v>38</v>
      </c>
      <c r="AA9" s="20" t="s">
        <v>38</v>
      </c>
      <c r="AB9" s="20" t="s">
        <v>38</v>
      </c>
      <c r="AC9" s="20" t="s">
        <v>38</v>
      </c>
      <c r="AD9" s="20" t="s">
        <v>38</v>
      </c>
      <c r="AE9" s="20" t="s">
        <v>38</v>
      </c>
      <c r="AF9" s="20" t="s">
        <v>38</v>
      </c>
      <c r="AG9" s="20" t="s">
        <v>38</v>
      </c>
      <c r="AH9" s="20" t="s">
        <v>38</v>
      </c>
      <c r="AI9" s="20" t="s">
        <v>38</v>
      </c>
      <c r="AJ9" s="20" t="s">
        <v>38</v>
      </c>
      <c r="AK9" s="20" t="s">
        <v>38</v>
      </c>
      <c r="AL9" s="20" t="s">
        <v>38</v>
      </c>
      <c r="AM9" s="20" t="s">
        <v>38</v>
      </c>
      <c r="AN9" s="20" t="s">
        <v>38</v>
      </c>
      <c r="AO9" s="20" t="s">
        <v>38</v>
      </c>
      <c r="AP9" s="20" t="s">
        <v>38</v>
      </c>
      <c r="AQ9" s="20" t="s">
        <v>38</v>
      </c>
      <c r="AR9" s="20" t="s">
        <v>38</v>
      </c>
      <c r="AS9" s="20" t="s">
        <v>38</v>
      </c>
      <c r="AT9" s="20" t="s">
        <v>38</v>
      </c>
      <c r="AU9" s="20" t="s">
        <v>38</v>
      </c>
      <c r="AV9" s="20" t="s">
        <v>38</v>
      </c>
      <c r="AW9" s="20" t="s">
        <v>38</v>
      </c>
      <c r="AX9" s="20" t="s">
        <v>38</v>
      </c>
      <c r="AY9" s="20" t="s">
        <v>38</v>
      </c>
      <c r="AZ9" s="20" t="s">
        <v>38</v>
      </c>
      <c r="BA9" s="20" t="s">
        <v>38</v>
      </c>
      <c r="BB9" s="20" t="s">
        <v>38</v>
      </c>
      <c r="BC9" s="20" t="s">
        <v>38</v>
      </c>
      <c r="BD9" s="20" t="s">
        <v>38</v>
      </c>
      <c r="BE9" s="20" t="s">
        <v>38</v>
      </c>
      <c r="BF9" s="20" t="s">
        <v>38</v>
      </c>
      <c r="BG9" s="20" t="s">
        <v>38</v>
      </c>
      <c r="BH9" s="20" t="s">
        <v>38</v>
      </c>
      <c r="BI9" s="20" t="s">
        <v>38</v>
      </c>
      <c r="BJ9" s="20" t="s">
        <v>38</v>
      </c>
      <c r="BK9" s="20" t="s">
        <v>38</v>
      </c>
      <c r="BL9" s="20" t="s">
        <v>38</v>
      </c>
      <c r="BM9" s="20" t="s">
        <v>38</v>
      </c>
      <c r="BN9" s="20" t="s">
        <v>38</v>
      </c>
      <c r="BO9" s="20" t="s">
        <v>38</v>
      </c>
      <c r="BP9" s="20" t="s">
        <v>38</v>
      </c>
      <c r="BQ9" s="20" t="s">
        <v>38</v>
      </c>
      <c r="BR9" s="20" t="s">
        <v>38</v>
      </c>
      <c r="BS9" s="20" t="s">
        <v>38</v>
      </c>
      <c r="BT9" s="20" t="s">
        <v>38</v>
      </c>
      <c r="BU9" s="20" t="s">
        <v>38</v>
      </c>
      <c r="BV9" s="20" t="s">
        <v>38</v>
      </c>
      <c r="BW9" s="20" t="s">
        <v>38</v>
      </c>
      <c r="BX9" s="20" t="s">
        <v>38</v>
      </c>
      <c r="BY9" s="61" t="s">
        <v>38</v>
      </c>
      <c r="BZ9" s="61" t="s">
        <v>38</v>
      </c>
      <c r="CA9" s="87" t="s">
        <v>38</v>
      </c>
    </row>
    <row r="10" spans="1:79">
      <c r="A10" s="29" t="s">
        <v>8</v>
      </c>
      <c r="B10" s="83">
        <v>254482.79284800001</v>
      </c>
      <c r="C10" s="83">
        <v>4505529.4775599996</v>
      </c>
      <c r="D10" s="20" t="s">
        <v>38</v>
      </c>
      <c r="E10" s="20" t="s">
        <v>38</v>
      </c>
      <c r="F10" s="20" t="s">
        <v>38</v>
      </c>
      <c r="G10" s="20" t="s">
        <v>38</v>
      </c>
      <c r="H10" s="20" t="s">
        <v>38</v>
      </c>
      <c r="I10" s="20" t="s">
        <v>38</v>
      </c>
      <c r="J10" s="20" t="s">
        <v>38</v>
      </c>
      <c r="K10" s="20" t="s">
        <v>38</v>
      </c>
      <c r="L10" s="20" t="s">
        <v>38</v>
      </c>
      <c r="M10" s="20" t="s">
        <v>38</v>
      </c>
      <c r="N10" s="20" t="s">
        <v>38</v>
      </c>
      <c r="O10" s="20" t="s">
        <v>38</v>
      </c>
      <c r="P10" s="20" t="s">
        <v>38</v>
      </c>
      <c r="Q10" s="20" t="s">
        <v>38</v>
      </c>
      <c r="R10" s="20" t="s">
        <v>38</v>
      </c>
      <c r="S10" s="20" t="s">
        <v>38</v>
      </c>
      <c r="T10" s="20" t="s">
        <v>38</v>
      </c>
      <c r="U10" s="20" t="s">
        <v>38</v>
      </c>
      <c r="V10" s="20" t="s">
        <v>38</v>
      </c>
      <c r="W10" s="20" t="s">
        <v>38</v>
      </c>
      <c r="X10" s="20" t="s">
        <v>38</v>
      </c>
      <c r="Y10" s="20" t="s">
        <v>38</v>
      </c>
      <c r="Z10" s="20" t="s">
        <v>38</v>
      </c>
      <c r="AA10" s="20" t="s">
        <v>38</v>
      </c>
      <c r="AB10" s="20" t="s">
        <v>38</v>
      </c>
      <c r="AC10" s="20" t="s">
        <v>38</v>
      </c>
      <c r="AD10" s="20" t="s">
        <v>38</v>
      </c>
      <c r="AE10" s="20" t="s">
        <v>38</v>
      </c>
      <c r="AF10" s="20" t="s">
        <v>38</v>
      </c>
      <c r="AG10" s="20" t="s">
        <v>38</v>
      </c>
      <c r="AH10" s="20" t="s">
        <v>38</v>
      </c>
      <c r="AI10" s="20" t="s">
        <v>38</v>
      </c>
      <c r="AJ10" s="20" t="s">
        <v>38</v>
      </c>
      <c r="AK10" s="20" t="s">
        <v>38</v>
      </c>
      <c r="AL10" s="20" t="s">
        <v>38</v>
      </c>
      <c r="AM10" s="20" t="s">
        <v>38</v>
      </c>
      <c r="AN10" s="20" t="s">
        <v>38</v>
      </c>
      <c r="AO10" s="20" t="s">
        <v>38</v>
      </c>
      <c r="AP10" s="20" t="s">
        <v>38</v>
      </c>
      <c r="AQ10" s="20" t="s">
        <v>38</v>
      </c>
      <c r="AR10" s="20" t="s">
        <v>38</v>
      </c>
      <c r="AS10" s="20" t="s">
        <v>38</v>
      </c>
      <c r="AT10" s="20" t="s">
        <v>38</v>
      </c>
      <c r="AU10" s="20" t="s">
        <v>38</v>
      </c>
      <c r="AV10" s="20" t="s">
        <v>38</v>
      </c>
      <c r="AW10" s="20" t="s">
        <v>38</v>
      </c>
      <c r="AX10" s="20" t="s">
        <v>38</v>
      </c>
      <c r="AY10" s="20" t="s">
        <v>38</v>
      </c>
      <c r="AZ10" s="20" t="s">
        <v>38</v>
      </c>
      <c r="BA10" s="20" t="s">
        <v>38</v>
      </c>
      <c r="BB10" s="20" t="s">
        <v>38</v>
      </c>
      <c r="BC10" s="20" t="s">
        <v>38</v>
      </c>
      <c r="BD10" s="20" t="s">
        <v>38</v>
      </c>
      <c r="BE10" s="20" t="s">
        <v>38</v>
      </c>
      <c r="BF10" s="20" t="s">
        <v>38</v>
      </c>
      <c r="BG10" s="20" t="s">
        <v>38</v>
      </c>
      <c r="BH10" s="20" t="s">
        <v>38</v>
      </c>
      <c r="BI10" s="20" t="s">
        <v>38</v>
      </c>
      <c r="BJ10" s="20" t="s">
        <v>38</v>
      </c>
      <c r="BK10" s="20" t="s">
        <v>38</v>
      </c>
      <c r="BL10" s="20" t="s">
        <v>38</v>
      </c>
      <c r="BM10" s="20" t="s">
        <v>38</v>
      </c>
      <c r="BN10" s="20" t="s">
        <v>38</v>
      </c>
      <c r="BO10" s="20" t="s">
        <v>38</v>
      </c>
      <c r="BP10" s="20" t="s">
        <v>38</v>
      </c>
      <c r="BQ10" s="20" t="s">
        <v>38</v>
      </c>
      <c r="BR10" s="20" t="s">
        <v>38</v>
      </c>
      <c r="BS10" s="20" t="s">
        <v>38</v>
      </c>
      <c r="BT10" s="20" t="s">
        <v>38</v>
      </c>
      <c r="BU10" s="20" t="s">
        <v>38</v>
      </c>
      <c r="BV10" s="20" t="s">
        <v>38</v>
      </c>
      <c r="BW10" s="20" t="s">
        <v>38</v>
      </c>
      <c r="BX10" s="20" t="s">
        <v>38</v>
      </c>
      <c r="BY10" s="61" t="s">
        <v>38</v>
      </c>
      <c r="BZ10" s="61" t="s">
        <v>38</v>
      </c>
      <c r="CA10" s="87" t="s">
        <v>38</v>
      </c>
    </row>
    <row r="11" spans="1:79">
      <c r="A11" s="29" t="s">
        <v>9</v>
      </c>
      <c r="B11" s="83">
        <v>254484.75221499999</v>
      </c>
      <c r="C11" s="83">
        <v>4505526.81066</v>
      </c>
      <c r="D11" s="20" t="s">
        <v>38</v>
      </c>
      <c r="E11" s="20" t="s">
        <v>38</v>
      </c>
      <c r="F11" s="20" t="s">
        <v>38</v>
      </c>
      <c r="G11" s="20" t="s">
        <v>38</v>
      </c>
      <c r="H11" s="20" t="s">
        <v>38</v>
      </c>
      <c r="I11" s="20" t="s">
        <v>38</v>
      </c>
      <c r="J11" s="20" t="s">
        <v>38</v>
      </c>
      <c r="K11" s="20" t="s">
        <v>38</v>
      </c>
      <c r="L11" s="20" t="s">
        <v>38</v>
      </c>
      <c r="M11" s="20" t="s">
        <v>38</v>
      </c>
      <c r="N11" s="20" t="s">
        <v>38</v>
      </c>
      <c r="O11" s="20" t="s">
        <v>38</v>
      </c>
      <c r="P11" s="20" t="s">
        <v>38</v>
      </c>
      <c r="Q11" s="20" t="s">
        <v>38</v>
      </c>
      <c r="R11" s="20" t="s">
        <v>38</v>
      </c>
      <c r="S11" s="20" t="s">
        <v>38</v>
      </c>
      <c r="T11" s="20" t="s">
        <v>38</v>
      </c>
      <c r="U11" s="20" t="s">
        <v>38</v>
      </c>
      <c r="V11" s="20" t="s">
        <v>38</v>
      </c>
      <c r="W11" s="20" t="s">
        <v>38</v>
      </c>
      <c r="X11" s="20" t="s">
        <v>38</v>
      </c>
      <c r="Y11" s="20" t="s">
        <v>38</v>
      </c>
      <c r="Z11" s="20" t="s">
        <v>38</v>
      </c>
      <c r="AA11" s="20" t="s">
        <v>38</v>
      </c>
      <c r="AB11" s="20" t="s">
        <v>38</v>
      </c>
      <c r="AC11" s="20" t="s">
        <v>38</v>
      </c>
      <c r="AD11" s="20" t="s">
        <v>38</v>
      </c>
      <c r="AE11" s="20" t="s">
        <v>38</v>
      </c>
      <c r="AF11" s="20" t="s">
        <v>38</v>
      </c>
      <c r="AG11" s="20" t="s">
        <v>38</v>
      </c>
      <c r="AH11" s="20" t="s">
        <v>38</v>
      </c>
      <c r="AI11" s="20" t="s">
        <v>38</v>
      </c>
      <c r="AJ11" s="20" t="s">
        <v>38</v>
      </c>
      <c r="AK11" s="20" t="s">
        <v>38</v>
      </c>
      <c r="AL11" s="20" t="s">
        <v>38</v>
      </c>
      <c r="AM11" s="20" t="s">
        <v>38</v>
      </c>
      <c r="AN11" s="20" t="s">
        <v>38</v>
      </c>
      <c r="AO11" s="20" t="s">
        <v>38</v>
      </c>
      <c r="AP11" s="20" t="s">
        <v>38</v>
      </c>
      <c r="AQ11" s="20" t="s">
        <v>38</v>
      </c>
      <c r="AR11" s="20" t="s">
        <v>38</v>
      </c>
      <c r="AS11" s="20" t="s">
        <v>38</v>
      </c>
      <c r="AT11" s="20" t="s">
        <v>38</v>
      </c>
      <c r="AU11" s="20" t="s">
        <v>38</v>
      </c>
      <c r="AV11" s="20" t="s">
        <v>38</v>
      </c>
      <c r="AW11" s="20" t="s">
        <v>38</v>
      </c>
      <c r="AX11" s="20" t="s">
        <v>38</v>
      </c>
      <c r="AY11" s="20" t="s">
        <v>38</v>
      </c>
      <c r="AZ11" s="20" t="s">
        <v>38</v>
      </c>
      <c r="BA11" s="20" t="s">
        <v>38</v>
      </c>
      <c r="BB11" s="20" t="s">
        <v>38</v>
      </c>
      <c r="BC11" s="20" t="s">
        <v>38</v>
      </c>
      <c r="BD11" s="20" t="s">
        <v>38</v>
      </c>
      <c r="BE11" s="20" t="s">
        <v>38</v>
      </c>
      <c r="BF11" s="20" t="s">
        <v>38</v>
      </c>
      <c r="BG11" s="20" t="s">
        <v>38</v>
      </c>
      <c r="BH11" s="20" t="s">
        <v>38</v>
      </c>
      <c r="BI11" s="20" t="s">
        <v>38</v>
      </c>
      <c r="BJ11" s="20" t="s">
        <v>38</v>
      </c>
      <c r="BK11" s="20" t="s">
        <v>38</v>
      </c>
      <c r="BL11" s="20" t="s">
        <v>38</v>
      </c>
      <c r="BM11" s="20" t="s">
        <v>38</v>
      </c>
      <c r="BN11" s="20" t="s">
        <v>38</v>
      </c>
      <c r="BO11" s="20" t="s">
        <v>38</v>
      </c>
      <c r="BP11" s="20" t="s">
        <v>38</v>
      </c>
      <c r="BQ11" s="20" t="s">
        <v>38</v>
      </c>
      <c r="BR11" s="20" t="s">
        <v>38</v>
      </c>
      <c r="BS11" s="20" t="s">
        <v>38</v>
      </c>
      <c r="BT11" s="20" t="s">
        <v>38</v>
      </c>
      <c r="BU11" s="20" t="s">
        <v>38</v>
      </c>
      <c r="BV11" s="20" t="s">
        <v>38</v>
      </c>
      <c r="BW11" s="20" t="s">
        <v>38</v>
      </c>
      <c r="BX11" s="20" t="s">
        <v>38</v>
      </c>
      <c r="BY11" s="61" t="s">
        <v>38</v>
      </c>
      <c r="BZ11" s="61" t="s">
        <v>38</v>
      </c>
      <c r="CA11" s="87" t="s">
        <v>38</v>
      </c>
    </row>
    <row r="12" spans="1:79">
      <c r="A12" s="29">
        <v>1</v>
      </c>
      <c r="B12" s="83">
        <v>254273.42219000001</v>
      </c>
      <c r="C12" s="83">
        <v>4505589.5737600001</v>
      </c>
      <c r="D12" s="20" t="s">
        <v>38</v>
      </c>
      <c r="E12" s="20" t="s">
        <v>38</v>
      </c>
      <c r="F12" s="20" t="s">
        <v>38</v>
      </c>
      <c r="G12" s="20" t="s">
        <v>38</v>
      </c>
      <c r="H12" s="20" t="s">
        <v>38</v>
      </c>
      <c r="I12" s="20" t="s">
        <v>38</v>
      </c>
      <c r="J12" s="20" t="s">
        <v>38</v>
      </c>
      <c r="K12" s="20" t="s">
        <v>38</v>
      </c>
      <c r="L12" s="20" t="s">
        <v>38</v>
      </c>
      <c r="M12" s="20" t="s">
        <v>38</v>
      </c>
      <c r="N12" s="20" t="s">
        <v>38</v>
      </c>
      <c r="O12" s="20" t="s">
        <v>38</v>
      </c>
      <c r="P12" s="20" t="s">
        <v>38</v>
      </c>
      <c r="Q12" s="20" t="s">
        <v>38</v>
      </c>
      <c r="R12" s="20" t="s">
        <v>38</v>
      </c>
      <c r="S12" s="20" t="s">
        <v>38</v>
      </c>
      <c r="T12" s="20" t="s">
        <v>38</v>
      </c>
      <c r="U12" s="20" t="s">
        <v>38</v>
      </c>
      <c r="V12" s="20" t="s">
        <v>38</v>
      </c>
      <c r="W12" s="20" t="s">
        <v>38</v>
      </c>
      <c r="X12" s="20" t="s">
        <v>38</v>
      </c>
      <c r="Y12" s="20" t="s">
        <v>38</v>
      </c>
      <c r="Z12" s="20" t="s">
        <v>38</v>
      </c>
      <c r="AA12" s="20" t="s">
        <v>38</v>
      </c>
      <c r="AB12" s="20" t="s">
        <v>38</v>
      </c>
      <c r="AC12" s="20" t="s">
        <v>38</v>
      </c>
      <c r="AD12" s="20" t="s">
        <v>38</v>
      </c>
      <c r="AE12" s="20" t="s">
        <v>38</v>
      </c>
      <c r="AF12" s="20" t="s">
        <v>38</v>
      </c>
      <c r="AG12" s="20" t="s">
        <v>38</v>
      </c>
      <c r="AH12" s="20" t="s">
        <v>38</v>
      </c>
      <c r="AI12" s="20" t="s">
        <v>38</v>
      </c>
      <c r="AJ12" s="20" t="s">
        <v>38</v>
      </c>
      <c r="AK12" s="20" t="s">
        <v>38</v>
      </c>
      <c r="AL12" s="20" t="s">
        <v>38</v>
      </c>
      <c r="AM12" s="20" t="s">
        <v>38</v>
      </c>
      <c r="AN12" s="20" t="s">
        <v>38</v>
      </c>
      <c r="AO12" s="20" t="s">
        <v>38</v>
      </c>
      <c r="AP12" s="20" t="s">
        <v>38</v>
      </c>
      <c r="AQ12" s="20" t="s">
        <v>38</v>
      </c>
      <c r="AR12" s="20" t="s">
        <v>38</v>
      </c>
      <c r="AS12" s="20" t="s">
        <v>38</v>
      </c>
      <c r="AT12" s="20" t="s">
        <v>38</v>
      </c>
      <c r="AU12" s="20" t="s">
        <v>38</v>
      </c>
      <c r="AV12" s="20" t="s">
        <v>38</v>
      </c>
      <c r="AW12" s="20" t="s">
        <v>38</v>
      </c>
      <c r="AX12" s="20" t="s">
        <v>38</v>
      </c>
      <c r="AY12" s="20" t="s">
        <v>38</v>
      </c>
      <c r="AZ12" s="20" t="s">
        <v>38</v>
      </c>
      <c r="BA12" s="20" t="s">
        <v>38</v>
      </c>
      <c r="BB12" s="20" t="s">
        <v>38</v>
      </c>
      <c r="BC12" s="20" t="s">
        <v>38</v>
      </c>
      <c r="BD12" s="20" t="s">
        <v>38</v>
      </c>
      <c r="BE12" s="20" t="s">
        <v>38</v>
      </c>
      <c r="BF12" s="20" t="s">
        <v>38</v>
      </c>
      <c r="BG12" s="20" t="s">
        <v>38</v>
      </c>
      <c r="BH12" s="20" t="s">
        <v>38</v>
      </c>
      <c r="BI12" s="20" t="s">
        <v>38</v>
      </c>
      <c r="BJ12" s="20" t="s">
        <v>38</v>
      </c>
      <c r="BK12" s="20" t="s">
        <v>38</v>
      </c>
      <c r="BL12" s="20" t="s">
        <v>38</v>
      </c>
      <c r="BM12" s="20" t="s">
        <v>38</v>
      </c>
      <c r="BN12" s="20" t="s">
        <v>38</v>
      </c>
      <c r="BO12" s="20" t="s">
        <v>38</v>
      </c>
      <c r="BP12" s="20" t="s">
        <v>38</v>
      </c>
      <c r="BQ12" s="20" t="s">
        <v>38</v>
      </c>
      <c r="BR12" s="20" t="s">
        <v>38</v>
      </c>
      <c r="BS12" s="20" t="s">
        <v>38</v>
      </c>
      <c r="BT12" s="20" t="s">
        <v>38</v>
      </c>
      <c r="BU12" s="20" t="s">
        <v>38</v>
      </c>
      <c r="BV12" s="20" t="s">
        <v>38</v>
      </c>
      <c r="BW12" s="20" t="s">
        <v>38</v>
      </c>
      <c r="BX12" s="20" t="s">
        <v>38</v>
      </c>
      <c r="BY12" s="61" t="s">
        <v>38</v>
      </c>
      <c r="BZ12" s="61" t="s">
        <v>38</v>
      </c>
      <c r="CA12" s="87" t="s">
        <v>38</v>
      </c>
    </row>
    <row r="13" spans="1:79">
      <c r="A13" s="29">
        <v>2</v>
      </c>
      <c r="B13" s="83">
        <v>254268.40893599999</v>
      </c>
      <c r="C13" s="83">
        <v>4505552.5855400003</v>
      </c>
      <c r="D13" s="20" t="s">
        <v>38</v>
      </c>
      <c r="E13" s="20" t="s">
        <v>38</v>
      </c>
      <c r="F13" s="20" t="s">
        <v>38</v>
      </c>
      <c r="G13" s="20" t="s">
        <v>38</v>
      </c>
      <c r="H13" s="20" t="s">
        <v>38</v>
      </c>
      <c r="I13" s="20" t="s">
        <v>38</v>
      </c>
      <c r="J13" s="20" t="s">
        <v>38</v>
      </c>
      <c r="K13" s="20" t="s">
        <v>38</v>
      </c>
      <c r="L13" s="20" t="s">
        <v>38</v>
      </c>
      <c r="M13" s="20" t="s">
        <v>38</v>
      </c>
      <c r="N13" s="20" t="s">
        <v>38</v>
      </c>
      <c r="O13" s="20" t="s">
        <v>38</v>
      </c>
      <c r="P13" s="20" t="s">
        <v>38</v>
      </c>
      <c r="Q13" s="20" t="s">
        <v>38</v>
      </c>
      <c r="R13" s="20" t="s">
        <v>38</v>
      </c>
      <c r="S13" s="20" t="s">
        <v>38</v>
      </c>
      <c r="T13" s="20" t="s">
        <v>38</v>
      </c>
      <c r="U13" s="20" t="s">
        <v>38</v>
      </c>
      <c r="V13" s="20" t="s">
        <v>38</v>
      </c>
      <c r="W13" s="20" t="s">
        <v>38</v>
      </c>
      <c r="X13" s="20" t="s">
        <v>38</v>
      </c>
      <c r="Y13" s="20" t="s">
        <v>38</v>
      </c>
      <c r="Z13" s="20" t="s">
        <v>38</v>
      </c>
      <c r="AA13" s="20" t="s">
        <v>38</v>
      </c>
      <c r="AB13" s="20" t="s">
        <v>38</v>
      </c>
      <c r="AC13" s="20" t="s">
        <v>38</v>
      </c>
      <c r="AD13" s="20" t="s">
        <v>38</v>
      </c>
      <c r="AE13" s="20" t="s">
        <v>38</v>
      </c>
      <c r="AF13" s="20" t="s">
        <v>38</v>
      </c>
      <c r="AG13" s="20" t="s">
        <v>38</v>
      </c>
      <c r="AH13" s="20" t="s">
        <v>38</v>
      </c>
      <c r="AI13" s="20" t="s">
        <v>38</v>
      </c>
      <c r="AJ13" s="20" t="s">
        <v>38</v>
      </c>
      <c r="AK13" s="20" t="s">
        <v>38</v>
      </c>
      <c r="AL13" s="20" t="s">
        <v>38</v>
      </c>
      <c r="AM13" s="20" t="s">
        <v>38</v>
      </c>
      <c r="AN13" s="20" t="s">
        <v>38</v>
      </c>
      <c r="AO13" s="20" t="s">
        <v>38</v>
      </c>
      <c r="AP13" s="20" t="s">
        <v>38</v>
      </c>
      <c r="AQ13" s="20" t="s">
        <v>38</v>
      </c>
      <c r="AR13" s="20" t="s">
        <v>38</v>
      </c>
      <c r="AS13" s="20" t="s">
        <v>38</v>
      </c>
      <c r="AT13" s="20" t="s">
        <v>38</v>
      </c>
      <c r="AU13" s="20" t="s">
        <v>38</v>
      </c>
      <c r="AV13" s="20" t="s">
        <v>38</v>
      </c>
      <c r="AW13" s="20" t="s">
        <v>38</v>
      </c>
      <c r="AX13" s="20" t="s">
        <v>38</v>
      </c>
      <c r="AY13" s="20" t="s">
        <v>38</v>
      </c>
      <c r="AZ13" s="20" t="s">
        <v>38</v>
      </c>
      <c r="BA13" s="20" t="s">
        <v>38</v>
      </c>
      <c r="BB13" s="20" t="s">
        <v>38</v>
      </c>
      <c r="BC13" s="20" t="s">
        <v>38</v>
      </c>
      <c r="BD13" s="20" t="s">
        <v>38</v>
      </c>
      <c r="BE13" s="20" t="s">
        <v>38</v>
      </c>
      <c r="BF13" s="20" t="s">
        <v>38</v>
      </c>
      <c r="BG13" s="20" t="s">
        <v>38</v>
      </c>
      <c r="BH13" s="20" t="s">
        <v>38</v>
      </c>
      <c r="BI13" s="20" t="s">
        <v>38</v>
      </c>
      <c r="BJ13" s="20" t="s">
        <v>38</v>
      </c>
      <c r="BK13" s="20" t="s">
        <v>38</v>
      </c>
      <c r="BL13" s="20" t="s">
        <v>38</v>
      </c>
      <c r="BM13" s="20" t="s">
        <v>38</v>
      </c>
      <c r="BN13" s="20" t="s">
        <v>38</v>
      </c>
      <c r="BO13" s="20" t="s">
        <v>38</v>
      </c>
      <c r="BP13" s="20" t="s">
        <v>38</v>
      </c>
      <c r="BQ13" s="20" t="s">
        <v>38</v>
      </c>
      <c r="BR13" s="20" t="s">
        <v>38</v>
      </c>
      <c r="BS13" s="20" t="s">
        <v>38</v>
      </c>
      <c r="BT13" s="20" t="s">
        <v>38</v>
      </c>
      <c r="BU13" s="20" t="s">
        <v>38</v>
      </c>
      <c r="BV13" s="20" t="s">
        <v>38</v>
      </c>
      <c r="BW13" s="20" t="s">
        <v>38</v>
      </c>
      <c r="BX13" s="20" t="s">
        <v>38</v>
      </c>
      <c r="BY13" s="61" t="s">
        <v>38</v>
      </c>
      <c r="BZ13" s="61" t="s">
        <v>38</v>
      </c>
      <c r="CA13" s="87" t="s">
        <v>38</v>
      </c>
    </row>
    <row r="14" spans="1:79">
      <c r="A14" s="29">
        <v>3</v>
      </c>
      <c r="B14" s="83">
        <v>254274.76034199999</v>
      </c>
      <c r="C14" s="83">
        <v>4505519.1361699998</v>
      </c>
      <c r="D14" s="20" t="s">
        <v>38</v>
      </c>
      <c r="E14" s="20" t="s">
        <v>38</v>
      </c>
      <c r="F14" s="20" t="s">
        <v>38</v>
      </c>
      <c r="G14" s="20" t="s">
        <v>38</v>
      </c>
      <c r="H14" s="20" t="s">
        <v>38</v>
      </c>
      <c r="I14" s="20" t="s">
        <v>38</v>
      </c>
      <c r="J14" s="20" t="s">
        <v>38</v>
      </c>
      <c r="K14" s="20" t="s">
        <v>38</v>
      </c>
      <c r="L14" s="20" t="s">
        <v>38</v>
      </c>
      <c r="M14" s="20" t="s">
        <v>38</v>
      </c>
      <c r="N14" s="20" t="s">
        <v>38</v>
      </c>
      <c r="O14" s="20" t="s">
        <v>38</v>
      </c>
      <c r="P14" s="20" t="s">
        <v>38</v>
      </c>
      <c r="Q14" s="20" t="s">
        <v>38</v>
      </c>
      <c r="R14" s="20" t="s">
        <v>38</v>
      </c>
      <c r="S14" s="20" t="s">
        <v>38</v>
      </c>
      <c r="T14" s="20" t="s">
        <v>38</v>
      </c>
      <c r="U14" s="20" t="s">
        <v>38</v>
      </c>
      <c r="V14" s="20" t="s">
        <v>38</v>
      </c>
      <c r="W14" s="20" t="s">
        <v>38</v>
      </c>
      <c r="X14" s="20" t="s">
        <v>38</v>
      </c>
      <c r="Y14" s="20" t="s">
        <v>38</v>
      </c>
      <c r="Z14" s="20" t="s">
        <v>38</v>
      </c>
      <c r="AA14" s="20" t="s">
        <v>38</v>
      </c>
      <c r="AB14" s="20" t="s">
        <v>38</v>
      </c>
      <c r="AC14" s="20" t="s">
        <v>38</v>
      </c>
      <c r="AD14" s="20" t="s">
        <v>38</v>
      </c>
      <c r="AE14" s="20" t="s">
        <v>38</v>
      </c>
      <c r="AF14" s="20" t="s">
        <v>38</v>
      </c>
      <c r="AG14" s="20" t="s">
        <v>38</v>
      </c>
      <c r="AH14" s="20" t="s">
        <v>38</v>
      </c>
      <c r="AI14" s="20" t="s">
        <v>38</v>
      </c>
      <c r="AJ14" s="20" t="s">
        <v>38</v>
      </c>
      <c r="AK14" s="20" t="s">
        <v>38</v>
      </c>
      <c r="AL14" s="20" t="s">
        <v>38</v>
      </c>
      <c r="AM14" s="20" t="s">
        <v>38</v>
      </c>
      <c r="AN14" s="20" t="s">
        <v>38</v>
      </c>
      <c r="AO14" s="20" t="s">
        <v>38</v>
      </c>
      <c r="AP14" s="20" t="s">
        <v>38</v>
      </c>
      <c r="AQ14" s="20" t="s">
        <v>38</v>
      </c>
      <c r="AR14" s="20" t="s">
        <v>38</v>
      </c>
      <c r="AS14" s="20" t="s">
        <v>38</v>
      </c>
      <c r="AT14" s="20" t="s">
        <v>38</v>
      </c>
      <c r="AU14" s="20" t="s">
        <v>38</v>
      </c>
      <c r="AV14" s="20" t="s">
        <v>38</v>
      </c>
      <c r="AW14" s="20" t="s">
        <v>38</v>
      </c>
      <c r="AX14" s="20" t="s">
        <v>38</v>
      </c>
      <c r="AY14" s="20" t="s">
        <v>38</v>
      </c>
      <c r="AZ14" s="20" t="s">
        <v>38</v>
      </c>
      <c r="BA14" s="20" t="s">
        <v>38</v>
      </c>
      <c r="BB14" s="20" t="s">
        <v>38</v>
      </c>
      <c r="BC14" s="20" t="s">
        <v>38</v>
      </c>
      <c r="BD14" s="20" t="s">
        <v>38</v>
      </c>
      <c r="BE14" s="20" t="s">
        <v>38</v>
      </c>
      <c r="BF14" s="20" t="s">
        <v>38</v>
      </c>
      <c r="BG14" s="20" t="s">
        <v>38</v>
      </c>
      <c r="BH14" s="20" t="s">
        <v>38</v>
      </c>
      <c r="BI14" s="20" t="s">
        <v>38</v>
      </c>
      <c r="BJ14" s="20" t="s">
        <v>38</v>
      </c>
      <c r="BK14" s="20" t="s">
        <v>38</v>
      </c>
      <c r="BL14" s="20" t="s">
        <v>38</v>
      </c>
      <c r="BM14" s="20" t="s">
        <v>38</v>
      </c>
      <c r="BN14" s="20" t="s">
        <v>38</v>
      </c>
      <c r="BO14" s="20" t="s">
        <v>38</v>
      </c>
      <c r="BP14" s="20" t="s">
        <v>38</v>
      </c>
      <c r="BQ14" s="20" t="s">
        <v>38</v>
      </c>
      <c r="BR14" s="20" t="s">
        <v>38</v>
      </c>
      <c r="BS14" s="20" t="s">
        <v>38</v>
      </c>
      <c r="BT14" s="20" t="s">
        <v>38</v>
      </c>
      <c r="BU14" s="20" t="s">
        <v>38</v>
      </c>
      <c r="BV14" s="20" t="s">
        <v>38</v>
      </c>
      <c r="BW14" s="20" t="s">
        <v>38</v>
      </c>
      <c r="BX14" s="20" t="s">
        <v>38</v>
      </c>
      <c r="BY14" s="61" t="s">
        <v>38</v>
      </c>
      <c r="BZ14" s="61" t="s">
        <v>38</v>
      </c>
      <c r="CA14" s="87" t="s">
        <v>38</v>
      </c>
    </row>
    <row r="15" spans="1:79">
      <c r="A15" s="29">
        <v>4</v>
      </c>
      <c r="B15" s="83">
        <v>254256.98182799999</v>
      </c>
      <c r="C15" s="83">
        <v>4505565.69778</v>
      </c>
      <c r="D15" s="20" t="s">
        <v>38</v>
      </c>
      <c r="E15" s="20" t="s">
        <v>38</v>
      </c>
      <c r="F15" s="20" t="s">
        <v>38</v>
      </c>
      <c r="G15" s="20" t="s">
        <v>38</v>
      </c>
      <c r="H15" s="20" t="s">
        <v>38</v>
      </c>
      <c r="I15" s="20" t="s">
        <v>38</v>
      </c>
      <c r="J15" s="20" t="s">
        <v>38</v>
      </c>
      <c r="K15" s="20" t="s">
        <v>38</v>
      </c>
      <c r="L15" s="20" t="s">
        <v>38</v>
      </c>
      <c r="M15" s="20" t="s">
        <v>38</v>
      </c>
      <c r="N15" s="20" t="s">
        <v>38</v>
      </c>
      <c r="O15" s="20" t="s">
        <v>38</v>
      </c>
      <c r="P15" s="20" t="s">
        <v>38</v>
      </c>
      <c r="Q15" s="20" t="s">
        <v>38</v>
      </c>
      <c r="R15" s="20" t="s">
        <v>38</v>
      </c>
      <c r="S15" s="20" t="s">
        <v>38</v>
      </c>
      <c r="T15" s="20" t="s">
        <v>38</v>
      </c>
      <c r="U15" s="20" t="s">
        <v>38</v>
      </c>
      <c r="V15" s="20" t="s">
        <v>38</v>
      </c>
      <c r="W15" s="20" t="s">
        <v>38</v>
      </c>
      <c r="X15" s="20" t="s">
        <v>38</v>
      </c>
      <c r="Y15" s="20" t="s">
        <v>38</v>
      </c>
      <c r="Z15" s="20" t="s">
        <v>38</v>
      </c>
      <c r="AA15" s="20" t="s">
        <v>38</v>
      </c>
      <c r="AB15" s="20" t="s">
        <v>38</v>
      </c>
      <c r="AC15" s="20" t="s">
        <v>38</v>
      </c>
      <c r="AD15" s="20" t="s">
        <v>38</v>
      </c>
      <c r="AE15" s="20" t="s">
        <v>38</v>
      </c>
      <c r="AF15" s="20" t="s">
        <v>38</v>
      </c>
      <c r="AG15" s="20" t="s">
        <v>38</v>
      </c>
      <c r="AH15" s="20" t="s">
        <v>38</v>
      </c>
      <c r="AI15" s="20" t="s">
        <v>38</v>
      </c>
      <c r="AJ15" s="20" t="s">
        <v>38</v>
      </c>
      <c r="AK15" s="20" t="s">
        <v>38</v>
      </c>
      <c r="AL15" s="20" t="s">
        <v>38</v>
      </c>
      <c r="AM15" s="20" t="s">
        <v>38</v>
      </c>
      <c r="AN15" s="20" t="s">
        <v>38</v>
      </c>
      <c r="AO15" s="20" t="s">
        <v>38</v>
      </c>
      <c r="AP15" s="20" t="s">
        <v>38</v>
      </c>
      <c r="AQ15" s="20" t="s">
        <v>38</v>
      </c>
      <c r="AR15" s="20" t="s">
        <v>38</v>
      </c>
      <c r="AS15" s="20" t="s">
        <v>38</v>
      </c>
      <c r="AT15" s="20" t="s">
        <v>38</v>
      </c>
      <c r="AU15" s="20" t="s">
        <v>38</v>
      </c>
      <c r="AV15" s="20" t="s">
        <v>38</v>
      </c>
      <c r="AW15" s="20" t="s">
        <v>38</v>
      </c>
      <c r="AX15" s="20" t="s">
        <v>38</v>
      </c>
      <c r="AY15" s="20" t="s">
        <v>38</v>
      </c>
      <c r="AZ15" s="20" t="s">
        <v>38</v>
      </c>
      <c r="BA15" s="20" t="s">
        <v>38</v>
      </c>
      <c r="BB15" s="20" t="s">
        <v>38</v>
      </c>
      <c r="BC15" s="20" t="s">
        <v>38</v>
      </c>
      <c r="BD15" s="20" t="s">
        <v>38</v>
      </c>
      <c r="BE15" s="20" t="s">
        <v>38</v>
      </c>
      <c r="BF15" s="20" t="s">
        <v>38</v>
      </c>
      <c r="BG15" s="20" t="s">
        <v>38</v>
      </c>
      <c r="BH15" s="20" t="s">
        <v>38</v>
      </c>
      <c r="BI15" s="20" t="s">
        <v>38</v>
      </c>
      <c r="BJ15" s="20" t="s">
        <v>38</v>
      </c>
      <c r="BK15" s="20" t="s">
        <v>38</v>
      </c>
      <c r="BL15" s="20" t="s">
        <v>38</v>
      </c>
      <c r="BM15" s="20" t="s">
        <v>38</v>
      </c>
      <c r="BN15" s="20" t="s">
        <v>38</v>
      </c>
      <c r="BO15" s="20" t="s">
        <v>38</v>
      </c>
      <c r="BP15" s="20" t="s">
        <v>38</v>
      </c>
      <c r="BQ15" s="20" t="s">
        <v>38</v>
      </c>
      <c r="BR15" s="20" t="s">
        <v>38</v>
      </c>
      <c r="BS15" s="20" t="s">
        <v>38</v>
      </c>
      <c r="BT15" s="20" t="s">
        <v>38</v>
      </c>
      <c r="BU15" s="20" t="s">
        <v>38</v>
      </c>
      <c r="BV15" s="20" t="s">
        <v>38</v>
      </c>
      <c r="BW15" s="20" t="s">
        <v>38</v>
      </c>
      <c r="BX15" s="20" t="s">
        <v>38</v>
      </c>
      <c r="BY15" s="61" t="s">
        <v>38</v>
      </c>
      <c r="BZ15" s="61" t="s">
        <v>38</v>
      </c>
      <c r="CA15" s="87" t="s">
        <v>38</v>
      </c>
    </row>
    <row r="16" spans="1:79">
      <c r="A16" s="29">
        <v>5</v>
      </c>
      <c r="B16" s="83">
        <v>254279.200835</v>
      </c>
      <c r="C16" s="83">
        <v>4505539.2380799996</v>
      </c>
      <c r="D16" s="20" t="s">
        <v>38</v>
      </c>
      <c r="E16" s="20" t="s">
        <v>38</v>
      </c>
      <c r="F16" s="20" t="s">
        <v>38</v>
      </c>
      <c r="G16" s="20" t="s">
        <v>38</v>
      </c>
      <c r="H16" s="20" t="s">
        <v>38</v>
      </c>
      <c r="I16" s="20" t="s">
        <v>38</v>
      </c>
      <c r="J16" s="20" t="s">
        <v>38</v>
      </c>
      <c r="K16" s="20" t="s">
        <v>38</v>
      </c>
      <c r="L16" s="20" t="s">
        <v>38</v>
      </c>
      <c r="M16" s="20" t="s">
        <v>38</v>
      </c>
      <c r="N16" s="20" t="s">
        <v>38</v>
      </c>
      <c r="O16" s="20" t="s">
        <v>38</v>
      </c>
      <c r="P16" s="20" t="s">
        <v>38</v>
      </c>
      <c r="Q16" s="20" t="s">
        <v>38</v>
      </c>
      <c r="R16" s="20" t="s">
        <v>38</v>
      </c>
      <c r="S16" s="20" t="s">
        <v>38</v>
      </c>
      <c r="T16" s="20" t="s">
        <v>38</v>
      </c>
      <c r="U16" s="20" t="s">
        <v>38</v>
      </c>
      <c r="V16" s="20" t="s">
        <v>38</v>
      </c>
      <c r="W16" s="20" t="s">
        <v>38</v>
      </c>
      <c r="X16" s="20" t="s">
        <v>38</v>
      </c>
      <c r="Y16" s="20" t="s">
        <v>38</v>
      </c>
      <c r="Z16" s="20" t="s">
        <v>38</v>
      </c>
      <c r="AA16" s="20" t="s">
        <v>38</v>
      </c>
      <c r="AB16" s="20" t="s">
        <v>38</v>
      </c>
      <c r="AC16" s="20" t="s">
        <v>38</v>
      </c>
      <c r="AD16" s="20" t="s">
        <v>38</v>
      </c>
      <c r="AE16" s="20" t="s">
        <v>38</v>
      </c>
      <c r="AF16" s="20" t="s">
        <v>38</v>
      </c>
      <c r="AG16" s="20" t="s">
        <v>38</v>
      </c>
      <c r="AH16" s="20" t="s">
        <v>38</v>
      </c>
      <c r="AI16" s="20" t="s">
        <v>38</v>
      </c>
      <c r="AJ16" s="20" t="s">
        <v>38</v>
      </c>
      <c r="AK16" s="20" t="s">
        <v>38</v>
      </c>
      <c r="AL16" s="20" t="s">
        <v>38</v>
      </c>
      <c r="AM16" s="20" t="s">
        <v>38</v>
      </c>
      <c r="AN16" s="20" t="s">
        <v>38</v>
      </c>
      <c r="AO16" s="20" t="s">
        <v>38</v>
      </c>
      <c r="AP16" s="20" t="s">
        <v>38</v>
      </c>
      <c r="AQ16" s="20" t="s">
        <v>38</v>
      </c>
      <c r="AR16" s="20" t="s">
        <v>38</v>
      </c>
      <c r="AS16" s="20" t="s">
        <v>38</v>
      </c>
      <c r="AT16" s="20" t="s">
        <v>38</v>
      </c>
      <c r="AU16" s="20" t="s">
        <v>38</v>
      </c>
      <c r="AV16" s="20" t="s">
        <v>38</v>
      </c>
      <c r="AW16" s="20" t="s">
        <v>38</v>
      </c>
      <c r="AX16" s="20" t="s">
        <v>38</v>
      </c>
      <c r="AY16" s="20" t="s">
        <v>38</v>
      </c>
      <c r="AZ16" s="20" t="s">
        <v>38</v>
      </c>
      <c r="BA16" s="20" t="s">
        <v>38</v>
      </c>
      <c r="BB16" s="20" t="s">
        <v>38</v>
      </c>
      <c r="BC16" s="20" t="s">
        <v>38</v>
      </c>
      <c r="BD16" s="20" t="s">
        <v>38</v>
      </c>
      <c r="BE16" s="20" t="s">
        <v>38</v>
      </c>
      <c r="BF16" s="20" t="s">
        <v>38</v>
      </c>
      <c r="BG16" s="20" t="s">
        <v>38</v>
      </c>
      <c r="BH16" s="20" t="s">
        <v>38</v>
      </c>
      <c r="BI16" s="20" t="s">
        <v>38</v>
      </c>
      <c r="BJ16" s="20" t="s">
        <v>38</v>
      </c>
      <c r="BK16" s="20" t="s">
        <v>38</v>
      </c>
      <c r="BL16" s="20" t="s">
        <v>38</v>
      </c>
      <c r="BM16" s="20" t="s">
        <v>38</v>
      </c>
      <c r="BN16" s="20" t="s">
        <v>38</v>
      </c>
      <c r="BO16" s="20" t="s">
        <v>38</v>
      </c>
      <c r="BP16" s="20" t="s">
        <v>38</v>
      </c>
      <c r="BQ16" s="20" t="s">
        <v>38</v>
      </c>
      <c r="BR16" s="20" t="s">
        <v>38</v>
      </c>
      <c r="BS16" s="20" t="s">
        <v>38</v>
      </c>
      <c r="BT16" s="20" t="s">
        <v>38</v>
      </c>
      <c r="BU16" s="20" t="s">
        <v>38</v>
      </c>
      <c r="BV16" s="20" t="s">
        <v>38</v>
      </c>
      <c r="BW16" s="20" t="s">
        <v>38</v>
      </c>
      <c r="BX16" s="20" t="s">
        <v>38</v>
      </c>
      <c r="BY16" s="61" t="s">
        <v>38</v>
      </c>
      <c r="BZ16" s="61" t="s">
        <v>38</v>
      </c>
      <c r="CA16" s="87" t="s">
        <v>38</v>
      </c>
    </row>
    <row r="17" spans="1:79">
      <c r="A17" s="29">
        <v>6</v>
      </c>
      <c r="B17" s="82">
        <v>254321.19506200001</v>
      </c>
      <c r="C17" s="82">
        <v>4505578.1072300002</v>
      </c>
      <c r="D17" s="20" t="s">
        <v>38</v>
      </c>
      <c r="E17" s="20">
        <v>0.40600000000000003</v>
      </c>
      <c r="F17" s="20">
        <v>0.46400000000000002</v>
      </c>
      <c r="G17" s="20">
        <v>0.436</v>
      </c>
      <c r="H17" s="20" t="s">
        <v>38</v>
      </c>
      <c r="I17" s="20">
        <v>0.40400000000000003</v>
      </c>
      <c r="J17" s="20">
        <v>0.39350000000000002</v>
      </c>
      <c r="K17" s="20">
        <v>0.36549999999999999</v>
      </c>
      <c r="L17" s="20">
        <v>0.38350000000000001</v>
      </c>
      <c r="M17" s="20">
        <v>0.29300000000000004</v>
      </c>
      <c r="N17" s="16">
        <v>0.32550000000000001</v>
      </c>
      <c r="O17" s="16">
        <v>0.28649999999999998</v>
      </c>
      <c r="P17" s="16">
        <v>0.27600000000000002</v>
      </c>
      <c r="Q17" s="16">
        <v>0.35399999999999998</v>
      </c>
      <c r="R17" s="16">
        <v>0.46599999999999997</v>
      </c>
      <c r="S17" s="16">
        <v>0.4955</v>
      </c>
      <c r="T17" s="16">
        <v>0.59699999999999998</v>
      </c>
      <c r="U17" s="16">
        <v>0.57899999999999996</v>
      </c>
      <c r="V17" s="16">
        <v>0.69599999999999995</v>
      </c>
      <c r="W17" s="16">
        <v>0.65700000000000003</v>
      </c>
      <c r="X17" s="19">
        <v>0.83</v>
      </c>
      <c r="Y17" s="7">
        <v>0.79500000000000004</v>
      </c>
      <c r="Z17" s="19">
        <v>0.85399999999999998</v>
      </c>
      <c r="AA17" s="19">
        <v>0.79200000000000004</v>
      </c>
      <c r="AB17" s="19">
        <v>0.69899999999999995</v>
      </c>
      <c r="AC17" s="7" t="s">
        <v>38</v>
      </c>
      <c r="AD17" s="24">
        <v>0.58199999999999996</v>
      </c>
      <c r="AE17" s="24">
        <v>0.56899999999999995</v>
      </c>
      <c r="AF17" s="24">
        <v>0.51600000000000001</v>
      </c>
      <c r="AG17" s="24">
        <v>0.50900000000000001</v>
      </c>
      <c r="AH17" s="24">
        <v>0.48499999999999999</v>
      </c>
      <c r="AI17" s="24">
        <v>0.47499999999999998</v>
      </c>
      <c r="AJ17" s="24">
        <v>0.45300000000000001</v>
      </c>
      <c r="AK17" s="24">
        <v>0.34200000000000003</v>
      </c>
      <c r="AL17" s="24">
        <v>0.52300000000000002</v>
      </c>
      <c r="AM17" s="24" t="s">
        <v>38</v>
      </c>
      <c r="AN17" s="40">
        <v>0.46500000000000002</v>
      </c>
      <c r="AO17" s="40">
        <v>0.36799999999999999</v>
      </c>
      <c r="AP17" s="40">
        <v>0.35599999999999998</v>
      </c>
      <c r="AQ17" s="40">
        <v>0.55300000000000005</v>
      </c>
      <c r="AR17" s="40">
        <v>0.53500000000000003</v>
      </c>
      <c r="AS17" s="40">
        <v>0.53200000000000003</v>
      </c>
      <c r="AT17" s="40">
        <v>0.51600000000000001</v>
      </c>
      <c r="AU17" s="40">
        <v>0.55900000000000005</v>
      </c>
      <c r="AV17" s="40">
        <v>0.46500000000000002</v>
      </c>
      <c r="AW17" s="40">
        <v>0.41699999999999998</v>
      </c>
      <c r="AX17" s="40">
        <v>0.29199999999999998</v>
      </c>
      <c r="AY17" s="40">
        <v>0.38800000000000001</v>
      </c>
      <c r="AZ17" s="40">
        <v>0.42</v>
      </c>
      <c r="BA17" s="40">
        <v>0.38300000000000001</v>
      </c>
      <c r="BB17" s="20" t="s">
        <v>38</v>
      </c>
      <c r="BC17" s="40">
        <v>0.35699999999999998</v>
      </c>
      <c r="BD17" s="20" t="s">
        <v>38</v>
      </c>
      <c r="BE17" s="20" t="s">
        <v>38</v>
      </c>
      <c r="BF17" s="20" t="s">
        <v>38</v>
      </c>
      <c r="BG17" s="40">
        <v>0.5575</v>
      </c>
      <c r="BH17" s="38">
        <v>0.433</v>
      </c>
      <c r="BI17" s="38">
        <v>0.45900000000000002</v>
      </c>
      <c r="BJ17" s="38">
        <v>0.42949999999999999</v>
      </c>
      <c r="BK17" s="38">
        <v>0.40349999999999997</v>
      </c>
      <c r="BL17" s="38">
        <v>0.4375</v>
      </c>
      <c r="BM17" s="38">
        <v>0.4395</v>
      </c>
      <c r="BN17" s="39" t="s">
        <v>38</v>
      </c>
      <c r="BO17" s="40">
        <v>0.40200000000000002</v>
      </c>
      <c r="BP17" s="38">
        <v>0.41</v>
      </c>
      <c r="BQ17" s="38">
        <v>0.45100000000000001</v>
      </c>
      <c r="BR17" s="41">
        <v>0.4425</v>
      </c>
      <c r="BS17" s="20" t="s">
        <v>38</v>
      </c>
      <c r="BT17" s="41">
        <v>0.45200000000000001</v>
      </c>
      <c r="BU17" s="20" t="s">
        <v>38</v>
      </c>
      <c r="BV17" s="41">
        <v>0.52049999999999996</v>
      </c>
      <c r="BW17" s="42">
        <v>0.44550000000000001</v>
      </c>
      <c r="BX17" s="42">
        <v>0.38800000000000001</v>
      </c>
      <c r="BY17" s="85">
        <f>(0.412+0.38)/2</f>
        <v>0.39600000000000002</v>
      </c>
      <c r="BZ17" s="85">
        <f>(0.595+0.571)/2</f>
        <v>0.58299999999999996</v>
      </c>
      <c r="CA17" s="87">
        <v>0.39350000000000002</v>
      </c>
    </row>
    <row r="18" spans="1:79">
      <c r="A18" s="29">
        <v>7</v>
      </c>
      <c r="B18" s="82">
        <v>254315.12577700001</v>
      </c>
      <c r="C18" s="82">
        <v>4505538.1711100005</v>
      </c>
      <c r="D18" s="20" t="s">
        <v>38</v>
      </c>
      <c r="E18" s="20">
        <v>0.1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4" t="s">
        <v>38</v>
      </c>
      <c r="O18" s="24" t="s">
        <v>38</v>
      </c>
      <c r="P18" s="24" t="s">
        <v>38</v>
      </c>
      <c r="Q18" s="24" t="s">
        <v>38</v>
      </c>
      <c r="R18" s="24" t="s">
        <v>38</v>
      </c>
      <c r="S18" s="24" t="s">
        <v>38</v>
      </c>
      <c r="T18" s="24" t="s">
        <v>38</v>
      </c>
      <c r="U18" s="24" t="s">
        <v>38</v>
      </c>
      <c r="V18" s="24" t="s">
        <v>38</v>
      </c>
      <c r="W18" s="24" t="s">
        <v>38</v>
      </c>
      <c r="X18" s="24" t="s">
        <v>38</v>
      </c>
      <c r="Y18" s="24" t="s">
        <v>38</v>
      </c>
      <c r="Z18" s="24" t="s">
        <v>38</v>
      </c>
      <c r="AA18" s="24" t="s">
        <v>38</v>
      </c>
      <c r="AB18" s="24" t="s">
        <v>38</v>
      </c>
      <c r="AC18" s="24" t="s">
        <v>38</v>
      </c>
      <c r="AD18" s="24" t="s">
        <v>38</v>
      </c>
      <c r="AE18" s="24" t="s">
        <v>38</v>
      </c>
      <c r="AF18" s="24" t="s">
        <v>38</v>
      </c>
      <c r="AG18" s="24" t="s">
        <v>38</v>
      </c>
      <c r="AH18" s="24" t="s">
        <v>38</v>
      </c>
      <c r="AI18" s="24" t="s">
        <v>38</v>
      </c>
      <c r="AJ18" s="24" t="s">
        <v>38</v>
      </c>
      <c r="AK18" s="24" t="s">
        <v>38</v>
      </c>
      <c r="AL18" s="24" t="s">
        <v>38</v>
      </c>
      <c r="AM18" s="24" t="s">
        <v>38</v>
      </c>
      <c r="AN18" s="24" t="s">
        <v>38</v>
      </c>
      <c r="AO18" s="24" t="s">
        <v>38</v>
      </c>
      <c r="AP18" s="24" t="s">
        <v>38</v>
      </c>
      <c r="AQ18" s="24" t="s">
        <v>38</v>
      </c>
      <c r="AR18" s="24" t="s">
        <v>38</v>
      </c>
      <c r="AS18" s="24" t="s">
        <v>38</v>
      </c>
      <c r="AT18" s="24" t="s">
        <v>38</v>
      </c>
      <c r="AU18" s="24" t="s">
        <v>38</v>
      </c>
      <c r="AV18" s="24" t="s">
        <v>38</v>
      </c>
      <c r="AW18" s="24" t="s">
        <v>38</v>
      </c>
      <c r="AX18" s="24" t="s">
        <v>38</v>
      </c>
      <c r="AY18" s="24" t="s">
        <v>38</v>
      </c>
      <c r="AZ18" s="24" t="s">
        <v>38</v>
      </c>
      <c r="BA18" s="24" t="s">
        <v>38</v>
      </c>
      <c r="BB18" s="20" t="s">
        <v>38</v>
      </c>
      <c r="BC18" s="20" t="s">
        <v>38</v>
      </c>
      <c r="BD18" s="20" t="s">
        <v>38</v>
      </c>
      <c r="BE18" s="20" t="s">
        <v>38</v>
      </c>
      <c r="BF18" s="20" t="s">
        <v>38</v>
      </c>
      <c r="BG18" s="20" t="s">
        <v>38</v>
      </c>
      <c r="BH18" s="20" t="s">
        <v>38</v>
      </c>
      <c r="BI18" s="20" t="s">
        <v>38</v>
      </c>
      <c r="BJ18" s="20" t="s">
        <v>38</v>
      </c>
      <c r="BK18" s="20" t="s">
        <v>38</v>
      </c>
      <c r="BL18" s="20" t="s">
        <v>38</v>
      </c>
      <c r="BM18" s="20" t="s">
        <v>38</v>
      </c>
      <c r="BN18" s="20" t="s">
        <v>38</v>
      </c>
      <c r="BO18" s="20" t="s">
        <v>38</v>
      </c>
      <c r="BP18" s="20" t="s">
        <v>38</v>
      </c>
      <c r="BQ18" s="20" t="s">
        <v>38</v>
      </c>
      <c r="BR18" s="20" t="s">
        <v>38</v>
      </c>
      <c r="BS18" s="20" t="s">
        <v>38</v>
      </c>
      <c r="BT18" s="20" t="s">
        <v>38</v>
      </c>
      <c r="BU18" s="20" t="s">
        <v>38</v>
      </c>
      <c r="BV18" s="20" t="s">
        <v>38</v>
      </c>
      <c r="BW18" s="20" t="s">
        <v>38</v>
      </c>
      <c r="BX18" s="20" t="s">
        <v>38</v>
      </c>
      <c r="BY18" s="85">
        <f>(0.11+0.127)/2</f>
        <v>0.11849999999999999</v>
      </c>
      <c r="BZ18" s="85">
        <f>(0.149+0.134)/2</f>
        <v>0.14150000000000001</v>
      </c>
      <c r="CA18" s="87" t="s">
        <v>38</v>
      </c>
    </row>
    <row r="19" spans="1:79">
      <c r="A19" s="29">
        <v>8</v>
      </c>
      <c r="B19" s="82">
        <v>254315.63247400001</v>
      </c>
      <c r="C19" s="82">
        <v>4505540.80064</v>
      </c>
      <c r="D19" s="20" t="s">
        <v>38</v>
      </c>
      <c r="E19" s="20">
        <v>0.122</v>
      </c>
      <c r="F19" s="20">
        <v>0.13450000000000001</v>
      </c>
      <c r="G19" s="20">
        <v>0.14549999999999999</v>
      </c>
      <c r="H19" s="20">
        <v>0.14000000000000001</v>
      </c>
      <c r="I19" s="20">
        <v>0.1125</v>
      </c>
      <c r="J19" s="20">
        <v>0.1105</v>
      </c>
      <c r="K19" s="20">
        <v>0.104</v>
      </c>
      <c r="L19" s="20">
        <v>9.7500000000000003E-2</v>
      </c>
      <c r="M19" s="20">
        <v>8.5999999999999993E-2</v>
      </c>
      <c r="N19" s="16">
        <v>0.105</v>
      </c>
      <c r="O19" s="16">
        <v>0.09</v>
      </c>
      <c r="P19" s="16">
        <v>9.4E-2</v>
      </c>
      <c r="Q19" s="16">
        <v>0.124</v>
      </c>
      <c r="R19" s="20" t="s">
        <v>38</v>
      </c>
      <c r="S19" s="16">
        <v>0</v>
      </c>
      <c r="T19" s="16">
        <v>0.16300000000000001</v>
      </c>
      <c r="U19" s="16">
        <v>0.16200000000000001</v>
      </c>
      <c r="V19" s="16">
        <v>0.14000000000000001</v>
      </c>
      <c r="W19" s="16">
        <v>0.154</v>
      </c>
      <c r="X19" s="19">
        <v>0.15</v>
      </c>
      <c r="Y19" s="7">
        <v>0.13300000000000001</v>
      </c>
      <c r="Z19" s="19">
        <v>0.13600000000000001</v>
      </c>
      <c r="AA19" s="19">
        <v>0.14099999999999999</v>
      </c>
      <c r="AB19" s="19">
        <v>0.157</v>
      </c>
      <c r="AC19" s="7">
        <v>0.155</v>
      </c>
      <c r="AD19" s="24">
        <v>0.17299999999999999</v>
      </c>
      <c r="AE19" s="24">
        <v>0.158</v>
      </c>
      <c r="AF19" s="24">
        <v>0.13100000000000001</v>
      </c>
      <c r="AG19" s="24">
        <v>0.129</v>
      </c>
      <c r="AH19" s="24">
        <v>0.12</v>
      </c>
      <c r="AI19" s="24">
        <v>0.112</v>
      </c>
      <c r="AJ19" s="24">
        <v>0.13300000000000001</v>
      </c>
      <c r="AK19" s="24">
        <v>0.11700000000000001</v>
      </c>
      <c r="AL19" s="24">
        <v>0.191</v>
      </c>
      <c r="AM19" s="24">
        <v>0.11700000000000001</v>
      </c>
      <c r="AN19" s="40">
        <v>0.14899999999999999</v>
      </c>
      <c r="AO19" s="40">
        <v>0.109</v>
      </c>
      <c r="AP19" s="40" t="s">
        <v>38</v>
      </c>
      <c r="AQ19" s="40">
        <v>0.12</v>
      </c>
      <c r="AR19" s="40">
        <v>0.115</v>
      </c>
      <c r="AS19" s="40">
        <v>0.12</v>
      </c>
      <c r="AT19" s="40">
        <v>0.11700000000000001</v>
      </c>
      <c r="AU19" s="40">
        <v>0.122</v>
      </c>
      <c r="AV19" s="40">
        <v>0.115</v>
      </c>
      <c r="AW19" s="40">
        <v>0.11</v>
      </c>
      <c r="AX19" s="40">
        <v>0.10199999999999999</v>
      </c>
      <c r="AY19" s="40">
        <v>0.107</v>
      </c>
      <c r="AZ19" s="40">
        <v>0.111</v>
      </c>
      <c r="BA19" s="40">
        <v>8.6999999999999994E-2</v>
      </c>
      <c r="BB19" s="20" t="s">
        <v>38</v>
      </c>
      <c r="BC19" s="40">
        <v>0.11699999999999999</v>
      </c>
      <c r="BD19" s="20" t="s">
        <v>38</v>
      </c>
      <c r="BE19" s="20" t="s">
        <v>38</v>
      </c>
      <c r="BF19" s="20" t="s">
        <v>38</v>
      </c>
      <c r="BG19" s="40">
        <v>0.158</v>
      </c>
      <c r="BH19" s="38">
        <v>0.127</v>
      </c>
      <c r="BI19" s="38">
        <v>0.34700000000000003</v>
      </c>
      <c r="BJ19" s="38">
        <v>0.126</v>
      </c>
      <c r="BK19" s="38">
        <v>0.13650000000000001</v>
      </c>
      <c r="BL19" s="38">
        <v>0.14000000000000001</v>
      </c>
      <c r="BM19" s="38" t="s">
        <v>38</v>
      </c>
      <c r="BN19" s="39" t="s">
        <v>38</v>
      </c>
      <c r="BO19" s="40">
        <v>0.13100000000000001</v>
      </c>
      <c r="BP19" s="38">
        <v>0.127</v>
      </c>
      <c r="BQ19" s="38">
        <v>0.1105</v>
      </c>
      <c r="BR19" s="41">
        <v>0.11349999999999999</v>
      </c>
      <c r="BS19" s="20" t="s">
        <v>38</v>
      </c>
      <c r="BT19" s="41">
        <v>0.10900000000000001</v>
      </c>
      <c r="BU19" s="20" t="s">
        <v>38</v>
      </c>
      <c r="BV19" s="41">
        <v>0.1245</v>
      </c>
      <c r="BW19" s="42">
        <v>9.8500000000000004E-2</v>
      </c>
      <c r="BX19" s="42">
        <v>0.1055</v>
      </c>
      <c r="BY19" s="85" t="s">
        <v>38</v>
      </c>
      <c r="BZ19" s="85" t="s">
        <v>38</v>
      </c>
      <c r="CA19" s="87" t="s">
        <v>38</v>
      </c>
    </row>
    <row r="20" spans="1:79">
      <c r="A20" s="29">
        <v>9</v>
      </c>
      <c r="B20" s="82">
        <v>254318.80336600001</v>
      </c>
      <c r="C20" s="82">
        <v>4505533.64805</v>
      </c>
      <c r="D20" s="20" t="s">
        <v>38</v>
      </c>
      <c r="E20" s="20">
        <v>0.23949999999999999</v>
      </c>
      <c r="F20" s="20">
        <v>0.251</v>
      </c>
      <c r="G20" s="20">
        <v>0.249</v>
      </c>
      <c r="H20" s="20">
        <v>0.23799999999999999</v>
      </c>
      <c r="I20" s="20">
        <v>0.20300000000000001</v>
      </c>
      <c r="J20" s="20">
        <v>0.1865</v>
      </c>
      <c r="K20" s="20">
        <v>0.16200000000000001</v>
      </c>
      <c r="L20" s="20">
        <v>0.16750000000000001</v>
      </c>
      <c r="M20" s="20">
        <v>0.14849999999999999</v>
      </c>
      <c r="N20" s="16">
        <v>0.1515</v>
      </c>
      <c r="O20" s="16">
        <v>0.14749999999999999</v>
      </c>
      <c r="P20" s="16">
        <v>0.14700000000000002</v>
      </c>
      <c r="Q20" s="16">
        <v>0.20499999999999999</v>
      </c>
      <c r="R20" s="20" t="s">
        <v>38</v>
      </c>
      <c r="S20" s="16">
        <v>0.2235</v>
      </c>
      <c r="T20" s="16">
        <v>0.255</v>
      </c>
      <c r="U20" s="16">
        <v>0.25700000000000001</v>
      </c>
      <c r="V20" s="16">
        <v>0.26900000000000002</v>
      </c>
      <c r="W20" s="16">
        <v>0.25</v>
      </c>
      <c r="X20" s="19">
        <v>0.26400000000000001</v>
      </c>
      <c r="Y20" s="7">
        <v>0.23899999999999999</v>
      </c>
      <c r="Z20" s="19">
        <v>0.23699999999999999</v>
      </c>
      <c r="AA20" s="19">
        <v>0.249</v>
      </c>
      <c r="AB20" s="19">
        <v>0.26300000000000001</v>
      </c>
      <c r="AC20" s="7">
        <v>0.26200000000000001</v>
      </c>
      <c r="AD20" s="24">
        <v>0.246</v>
      </c>
      <c r="AE20" s="24">
        <v>0.26800000000000002</v>
      </c>
      <c r="AF20" s="24">
        <v>0.19700000000000001</v>
      </c>
      <c r="AG20" s="24">
        <v>0.22500000000000001</v>
      </c>
      <c r="AH20" s="24">
        <v>0.20899999999999999</v>
      </c>
      <c r="AI20" s="24">
        <v>0.2</v>
      </c>
      <c r="AJ20" s="24">
        <v>0.184</v>
      </c>
      <c r="AK20" s="24">
        <v>0.182</v>
      </c>
      <c r="AL20" s="24">
        <v>0.27700000000000002</v>
      </c>
      <c r="AM20" s="24">
        <v>0.28100000000000003</v>
      </c>
      <c r="AN20" s="40">
        <v>0.23499999999999999</v>
      </c>
      <c r="AO20" s="40">
        <v>0.17299999999999999</v>
      </c>
      <c r="AP20" s="40">
        <v>0.151</v>
      </c>
      <c r="AQ20" s="40">
        <v>0.221</v>
      </c>
      <c r="AR20" s="40">
        <v>0.20899999999999999</v>
      </c>
      <c r="AS20" s="40">
        <v>0.21099999999999999</v>
      </c>
      <c r="AT20" s="40">
        <v>0.20399999999999999</v>
      </c>
      <c r="AU20" s="40">
        <v>0.19500000000000001</v>
      </c>
      <c r="AV20" s="40">
        <v>0.2</v>
      </c>
      <c r="AW20" s="40">
        <v>0.17100000000000001</v>
      </c>
      <c r="AX20" s="40">
        <v>0.16400000000000001</v>
      </c>
      <c r="AY20" s="40">
        <v>0.191</v>
      </c>
      <c r="AZ20" s="40">
        <v>0.20300000000000001</v>
      </c>
      <c r="BA20" s="40">
        <v>0.19400000000000001</v>
      </c>
      <c r="BB20" s="20" t="s">
        <v>38</v>
      </c>
      <c r="BC20" s="40">
        <v>0.20100000000000001</v>
      </c>
      <c r="BD20" s="20" t="s">
        <v>38</v>
      </c>
      <c r="BE20" s="20" t="s">
        <v>38</v>
      </c>
      <c r="BF20" s="20" t="s">
        <v>38</v>
      </c>
      <c r="BG20" s="40">
        <v>0.2535</v>
      </c>
      <c r="BH20" s="38">
        <v>0.21149999999999999</v>
      </c>
      <c r="BI20" s="38">
        <v>0.22950000000000001</v>
      </c>
      <c r="BJ20" s="38">
        <v>0.23150000000000001</v>
      </c>
      <c r="BK20" s="38">
        <v>0.22950000000000001</v>
      </c>
      <c r="BL20" s="38">
        <v>0.23200000000000001</v>
      </c>
      <c r="BM20" s="38">
        <v>0.2215</v>
      </c>
      <c r="BN20" s="39" t="s">
        <v>38</v>
      </c>
      <c r="BO20" s="40">
        <v>0.25600000000000001</v>
      </c>
      <c r="BP20" s="38">
        <v>0.23749999999999999</v>
      </c>
      <c r="BQ20" s="38">
        <v>0.19600000000000001</v>
      </c>
      <c r="BR20" s="41">
        <v>0.19750000000000001</v>
      </c>
      <c r="BS20" s="20" t="s">
        <v>38</v>
      </c>
      <c r="BT20" s="41">
        <v>0.16350000000000001</v>
      </c>
      <c r="BU20" s="20" t="s">
        <v>38</v>
      </c>
      <c r="BV20" s="41">
        <v>0.20549999999999999</v>
      </c>
      <c r="BW20" s="42">
        <v>0.1845</v>
      </c>
      <c r="BX20" s="42">
        <v>0.18</v>
      </c>
      <c r="BY20" s="85">
        <f>(0.29+0.301)/2</f>
        <v>0.29549999999999998</v>
      </c>
      <c r="BZ20" s="85">
        <f>(0.348+0.354)/2</f>
        <v>0.35099999999999998</v>
      </c>
      <c r="CA20" s="87">
        <v>0.26650000000000001</v>
      </c>
    </row>
    <row r="21" spans="1:79">
      <c r="A21" s="29">
        <v>10</v>
      </c>
      <c r="B21" s="82">
        <v>254304.411941</v>
      </c>
      <c r="C21" s="82">
        <v>4505533.3200700004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 t="s">
        <v>38</v>
      </c>
      <c r="O21" s="17" t="s">
        <v>38</v>
      </c>
      <c r="P21" s="17" t="s">
        <v>38</v>
      </c>
      <c r="Q21" s="16">
        <v>0.16900000000000001</v>
      </c>
      <c r="R21" s="20" t="s">
        <v>38</v>
      </c>
      <c r="S21" s="17" t="s">
        <v>38</v>
      </c>
      <c r="T21" s="17" t="s">
        <v>38</v>
      </c>
      <c r="U21" s="17" t="s">
        <v>38</v>
      </c>
      <c r="V21" s="17" t="s">
        <v>38</v>
      </c>
      <c r="W21" s="17" t="s">
        <v>38</v>
      </c>
      <c r="X21" s="17" t="s">
        <v>38</v>
      </c>
      <c r="Y21" s="17" t="s">
        <v>38</v>
      </c>
      <c r="Z21" s="17" t="s">
        <v>38</v>
      </c>
      <c r="AA21" s="17" t="s">
        <v>38</v>
      </c>
      <c r="AB21" s="17" t="s">
        <v>38</v>
      </c>
      <c r="AC21" s="17" t="s">
        <v>38</v>
      </c>
      <c r="AD21" s="17" t="s">
        <v>38</v>
      </c>
      <c r="AE21" s="17" t="s">
        <v>38</v>
      </c>
      <c r="AF21" s="17" t="s">
        <v>38</v>
      </c>
      <c r="AG21" s="17" t="s">
        <v>38</v>
      </c>
      <c r="AH21" s="17" t="s">
        <v>38</v>
      </c>
      <c r="AI21" s="17" t="s">
        <v>38</v>
      </c>
      <c r="AJ21" s="17" t="s">
        <v>38</v>
      </c>
      <c r="AK21" s="17" t="s">
        <v>38</v>
      </c>
      <c r="AL21" s="17" t="s">
        <v>38</v>
      </c>
      <c r="AM21" s="17" t="s">
        <v>38</v>
      </c>
      <c r="AN21" s="17" t="s">
        <v>38</v>
      </c>
      <c r="AO21" s="17" t="s">
        <v>38</v>
      </c>
      <c r="AP21" s="17" t="s">
        <v>38</v>
      </c>
      <c r="AQ21" s="17" t="s">
        <v>38</v>
      </c>
      <c r="AR21" s="17" t="s">
        <v>38</v>
      </c>
      <c r="AS21" s="17" t="s">
        <v>38</v>
      </c>
      <c r="AT21" s="17" t="s">
        <v>38</v>
      </c>
      <c r="AU21" s="17" t="s">
        <v>38</v>
      </c>
      <c r="AV21" s="17" t="s">
        <v>38</v>
      </c>
      <c r="AW21" s="17" t="s">
        <v>38</v>
      </c>
      <c r="AX21" s="17" t="s">
        <v>38</v>
      </c>
      <c r="AY21" s="17" t="s">
        <v>38</v>
      </c>
      <c r="AZ21" s="17" t="s">
        <v>38</v>
      </c>
      <c r="BA21" s="17" t="s">
        <v>38</v>
      </c>
      <c r="BB21" s="20" t="s">
        <v>38</v>
      </c>
      <c r="BC21" s="20" t="s">
        <v>38</v>
      </c>
      <c r="BD21" s="20" t="s">
        <v>38</v>
      </c>
      <c r="BE21" s="20" t="s">
        <v>38</v>
      </c>
      <c r="BF21" s="20" t="s">
        <v>38</v>
      </c>
      <c r="BG21" s="20" t="s">
        <v>38</v>
      </c>
      <c r="BH21" s="20" t="s">
        <v>38</v>
      </c>
      <c r="BI21" s="20" t="s">
        <v>38</v>
      </c>
      <c r="BJ21" s="20" t="s">
        <v>38</v>
      </c>
      <c r="BK21" s="20" t="s">
        <v>38</v>
      </c>
      <c r="BL21" s="20" t="s">
        <v>38</v>
      </c>
      <c r="BM21" s="20" t="s">
        <v>38</v>
      </c>
      <c r="BN21" s="20" t="s">
        <v>38</v>
      </c>
      <c r="BO21" s="20" t="s">
        <v>38</v>
      </c>
      <c r="BP21" s="20" t="s">
        <v>38</v>
      </c>
      <c r="BQ21" s="20" t="s">
        <v>38</v>
      </c>
      <c r="BR21" s="20" t="s">
        <v>38</v>
      </c>
      <c r="BS21" s="20" t="s">
        <v>38</v>
      </c>
      <c r="BT21" s="20" t="s">
        <v>38</v>
      </c>
      <c r="BU21" s="20" t="s">
        <v>38</v>
      </c>
      <c r="BV21" s="20" t="s">
        <v>38</v>
      </c>
      <c r="BW21" s="20" t="s">
        <v>38</v>
      </c>
      <c r="BX21" s="20" t="s">
        <v>38</v>
      </c>
      <c r="BY21" s="85" t="s">
        <v>38</v>
      </c>
      <c r="BZ21" s="85" t="s">
        <v>38</v>
      </c>
      <c r="CA21" s="86" t="s">
        <v>38</v>
      </c>
    </row>
    <row r="22" spans="1:79">
      <c r="A22" s="29">
        <v>11</v>
      </c>
      <c r="B22" s="82">
        <v>254377.22509600001</v>
      </c>
      <c r="C22" s="82">
        <v>4505568.8344999999</v>
      </c>
      <c r="D22" s="20" t="s">
        <v>38</v>
      </c>
      <c r="E22" s="20" t="s">
        <v>38</v>
      </c>
      <c r="F22" s="20" t="s">
        <v>38</v>
      </c>
      <c r="G22" s="20" t="s">
        <v>38</v>
      </c>
      <c r="H22" s="20" t="s">
        <v>38</v>
      </c>
      <c r="I22" s="20" t="s">
        <v>38</v>
      </c>
      <c r="J22" s="20" t="s">
        <v>38</v>
      </c>
      <c r="K22" s="20" t="s">
        <v>38</v>
      </c>
      <c r="L22" s="20" t="s">
        <v>38</v>
      </c>
      <c r="M22" s="20" t="s">
        <v>38</v>
      </c>
      <c r="N22" s="17" t="s">
        <v>38</v>
      </c>
      <c r="O22" s="17" t="s">
        <v>38</v>
      </c>
      <c r="P22" s="17" t="s">
        <v>38</v>
      </c>
      <c r="Q22" s="17" t="s">
        <v>38</v>
      </c>
      <c r="R22" s="17" t="s">
        <v>38</v>
      </c>
      <c r="S22" s="17" t="s">
        <v>38</v>
      </c>
      <c r="T22" s="16">
        <v>0.39500000000000002</v>
      </c>
      <c r="U22" s="16">
        <v>0.42399999999999999</v>
      </c>
      <c r="V22" s="16">
        <v>0.42099999999999999</v>
      </c>
      <c r="W22" s="16">
        <v>0.441</v>
      </c>
      <c r="X22" s="19">
        <v>0.45100000000000001</v>
      </c>
      <c r="Y22" s="7">
        <v>0.41599999999999998</v>
      </c>
      <c r="Z22" s="19">
        <v>0.42499999999999999</v>
      </c>
      <c r="AA22" s="19">
        <v>0.40699999999999997</v>
      </c>
      <c r="AB22" s="19">
        <v>0.41799999999999998</v>
      </c>
      <c r="AC22" s="7">
        <v>0.44600000000000001</v>
      </c>
      <c r="AD22" s="24">
        <v>0.45800000000000002</v>
      </c>
      <c r="AE22" s="24">
        <v>0.46700000000000003</v>
      </c>
      <c r="AF22" s="24">
        <v>0.30499999999999999</v>
      </c>
      <c r="AG22" s="24">
        <v>0.311</v>
      </c>
      <c r="AH22" s="24">
        <v>0.33800000000000002</v>
      </c>
      <c r="AI22" s="24">
        <v>0.33500000000000002</v>
      </c>
      <c r="AJ22" s="24">
        <v>0.30399999999999999</v>
      </c>
      <c r="AK22" s="24">
        <v>0.35</v>
      </c>
      <c r="AL22" s="24">
        <v>0.39600000000000002</v>
      </c>
      <c r="AM22" s="24">
        <v>0.53600000000000003</v>
      </c>
      <c r="AN22" s="40">
        <v>0.34599999999999997</v>
      </c>
      <c r="AO22" s="40">
        <v>0.255</v>
      </c>
      <c r="AP22" s="40" t="s">
        <v>38</v>
      </c>
      <c r="AQ22" s="40">
        <v>0.33300000000000002</v>
      </c>
      <c r="AR22" s="40">
        <v>0.309</v>
      </c>
      <c r="AS22" s="40">
        <v>0.314</v>
      </c>
      <c r="AT22" s="40">
        <v>0.30299999999999999</v>
      </c>
      <c r="AU22" s="40">
        <v>0.30599999999999999</v>
      </c>
      <c r="AV22" s="40">
        <v>0.28399999999999997</v>
      </c>
      <c r="AW22" s="40">
        <v>0.26400000000000001</v>
      </c>
      <c r="AX22" s="40">
        <v>0.24099999999999999</v>
      </c>
      <c r="AY22" s="40">
        <v>0.255</v>
      </c>
      <c r="AZ22" s="40">
        <v>0.26100000000000001</v>
      </c>
      <c r="BA22" s="40">
        <v>0.27</v>
      </c>
      <c r="BB22" s="49">
        <v>0.21199999999999999</v>
      </c>
      <c r="BC22" s="40">
        <v>0.3155</v>
      </c>
      <c r="BD22" s="20" t="s">
        <v>38</v>
      </c>
      <c r="BE22" s="20" t="s">
        <v>38</v>
      </c>
      <c r="BF22" s="20" t="s">
        <v>38</v>
      </c>
      <c r="BG22" s="40">
        <v>0.36799999999999999</v>
      </c>
      <c r="BH22" s="38">
        <v>0.35050000000000003</v>
      </c>
      <c r="BI22" s="38">
        <v>0.34899999999999998</v>
      </c>
      <c r="BJ22" s="38">
        <v>0.317</v>
      </c>
      <c r="BK22" s="38">
        <v>0.30299999999999999</v>
      </c>
      <c r="BL22" s="38">
        <v>0.312</v>
      </c>
      <c r="BM22" s="38">
        <v>0.34399999999999997</v>
      </c>
      <c r="BN22" s="20" t="s">
        <v>38</v>
      </c>
      <c r="BO22" s="40">
        <v>0.3155</v>
      </c>
      <c r="BP22" s="38">
        <v>0.32500000000000001</v>
      </c>
      <c r="BQ22" s="38" t="s">
        <v>38</v>
      </c>
      <c r="BR22" s="41" t="s">
        <v>38</v>
      </c>
      <c r="BS22" s="41" t="s">
        <v>38</v>
      </c>
      <c r="BT22" s="41" t="s">
        <v>38</v>
      </c>
      <c r="BU22" s="41" t="s">
        <v>38</v>
      </c>
      <c r="BV22" s="41" t="s">
        <v>38</v>
      </c>
      <c r="BW22" s="41" t="s">
        <v>38</v>
      </c>
      <c r="BX22" s="41" t="s">
        <v>38</v>
      </c>
      <c r="BY22" s="85">
        <f>(0.349+0.354)/2</f>
        <v>0.35149999999999998</v>
      </c>
      <c r="BZ22" s="85">
        <f>(0.327+0.335)/2</f>
        <v>0.33100000000000002</v>
      </c>
      <c r="CA22" s="87">
        <v>0.48349999999999999</v>
      </c>
    </row>
    <row r="23" spans="1:79">
      <c r="A23" s="29">
        <v>12</v>
      </c>
      <c r="B23" s="82">
        <v>254378.35348799999</v>
      </c>
      <c r="C23" s="82">
        <v>4505539.32706</v>
      </c>
      <c r="D23" s="20" t="s">
        <v>38</v>
      </c>
      <c r="E23" s="20">
        <v>0.32150000000000001</v>
      </c>
      <c r="F23" s="20">
        <v>0.33050000000000002</v>
      </c>
      <c r="G23" s="20">
        <v>0.32150000000000001</v>
      </c>
      <c r="H23" s="20">
        <v>0.34</v>
      </c>
      <c r="I23" s="20">
        <v>0.26250000000000001</v>
      </c>
      <c r="J23" s="20">
        <v>0.25700000000000001</v>
      </c>
      <c r="K23" s="20">
        <v>0.218</v>
      </c>
      <c r="L23" s="20">
        <v>0.22700000000000001</v>
      </c>
      <c r="M23" s="20">
        <v>0.20600000000000002</v>
      </c>
      <c r="N23" s="16">
        <v>0.20350000000000001</v>
      </c>
      <c r="O23" s="16">
        <v>0.20250000000000001</v>
      </c>
      <c r="P23" s="16">
        <v>0.2135</v>
      </c>
      <c r="Q23" s="16">
        <v>0.20949999999999999</v>
      </c>
      <c r="R23" s="16">
        <v>0.23049999999999998</v>
      </c>
      <c r="S23" s="16">
        <v>0.23</v>
      </c>
      <c r="T23" s="16">
        <v>0.38900000000000001</v>
      </c>
      <c r="U23" s="16">
        <v>0.39700000000000002</v>
      </c>
      <c r="V23" s="16">
        <v>0.36799999999999999</v>
      </c>
      <c r="W23" s="16">
        <v>0.39900000000000002</v>
      </c>
      <c r="X23" s="19">
        <v>0.36699999999999999</v>
      </c>
      <c r="Y23" s="7">
        <v>0.38800000000000001</v>
      </c>
      <c r="Z23" s="19">
        <v>0.36199999999999999</v>
      </c>
      <c r="AA23" s="19">
        <v>0.37</v>
      </c>
      <c r="AB23" s="19">
        <v>0.35199999999999998</v>
      </c>
      <c r="AC23" s="7">
        <v>0.375</v>
      </c>
      <c r="AD23" s="24">
        <v>0.41599999999999998</v>
      </c>
      <c r="AE23" s="24">
        <v>0.35</v>
      </c>
      <c r="AF23" s="24">
        <v>0.28899999999999998</v>
      </c>
      <c r="AG23" s="24">
        <v>0.27800000000000002</v>
      </c>
      <c r="AH23" s="24">
        <v>0.245</v>
      </c>
      <c r="AI23" s="24">
        <v>0.23899999999999999</v>
      </c>
      <c r="AJ23" s="24">
        <v>0.25700000000000001</v>
      </c>
      <c r="AK23" s="24">
        <v>0.25800000000000001</v>
      </c>
      <c r="AL23" s="24">
        <v>0.26200000000000001</v>
      </c>
      <c r="AM23" s="24">
        <v>0.38500000000000001</v>
      </c>
      <c r="AN23" s="40">
        <v>0.314</v>
      </c>
      <c r="AO23" s="40">
        <v>0.23499999999999999</v>
      </c>
      <c r="AP23" s="40">
        <v>0.30199999999999999</v>
      </c>
      <c r="AQ23" s="40">
        <v>0.3</v>
      </c>
      <c r="AR23" s="40">
        <v>0.28599999999999998</v>
      </c>
      <c r="AS23" s="40">
        <v>0.28199999999999997</v>
      </c>
      <c r="AT23" s="40">
        <v>0.28100000000000003</v>
      </c>
      <c r="AU23" s="40">
        <v>0.26800000000000002</v>
      </c>
      <c r="AV23" s="40">
        <v>0.27900000000000003</v>
      </c>
      <c r="AW23" s="40">
        <v>0.23200000000000001</v>
      </c>
      <c r="AX23" s="40">
        <v>0.223</v>
      </c>
      <c r="AY23" s="40">
        <v>0.22500000000000001</v>
      </c>
      <c r="AZ23" s="40">
        <v>0.221</v>
      </c>
      <c r="BA23" s="40">
        <v>0.224</v>
      </c>
      <c r="BB23" s="49" t="s">
        <v>38</v>
      </c>
      <c r="BC23" s="40">
        <v>0.23749999999999999</v>
      </c>
      <c r="BD23" s="20" t="s">
        <v>38</v>
      </c>
      <c r="BE23" s="20" t="s">
        <v>38</v>
      </c>
      <c r="BF23" s="20" t="s">
        <v>38</v>
      </c>
      <c r="BG23" s="40">
        <v>0.34550000000000003</v>
      </c>
      <c r="BH23" s="38">
        <v>0.30049999999999999</v>
      </c>
      <c r="BI23" s="38">
        <v>0.32200000000000001</v>
      </c>
      <c r="BJ23" s="38">
        <v>0.29899999999999999</v>
      </c>
      <c r="BK23" s="38">
        <v>0.311</v>
      </c>
      <c r="BL23" s="38">
        <v>0.30399999999999999</v>
      </c>
      <c r="BM23" s="38">
        <v>0.32850000000000001</v>
      </c>
      <c r="BN23" s="20" t="s">
        <v>38</v>
      </c>
      <c r="BO23" s="40">
        <v>0.3135</v>
      </c>
      <c r="BP23" s="38">
        <v>0.309</v>
      </c>
      <c r="BQ23" s="38">
        <v>0.2465</v>
      </c>
      <c r="BR23" s="41">
        <v>0.25650000000000001</v>
      </c>
      <c r="BS23" s="41" t="s">
        <v>38</v>
      </c>
      <c r="BT23" s="41">
        <v>0.25</v>
      </c>
      <c r="BU23" s="41" t="s">
        <v>38</v>
      </c>
      <c r="BV23" s="41">
        <v>0.26550000000000001</v>
      </c>
      <c r="BW23" s="42">
        <v>0.23299999999999998</v>
      </c>
      <c r="BX23" s="42">
        <v>0.24199999999999999</v>
      </c>
      <c r="BY23" s="85">
        <f>(0.34+0.345)/2</f>
        <v>0.34250000000000003</v>
      </c>
      <c r="BZ23" s="85">
        <f>(0.323+0.31)/2</f>
        <v>0.3165</v>
      </c>
      <c r="CA23" s="87">
        <v>0.432</v>
      </c>
    </row>
    <row r="24" spans="1:79">
      <c r="A24" s="29">
        <v>13</v>
      </c>
      <c r="B24" s="82">
        <v>254394.38724800001</v>
      </c>
      <c r="C24" s="82">
        <v>4505500.7558800001</v>
      </c>
      <c r="D24" s="20" t="s">
        <v>38</v>
      </c>
      <c r="E24" s="20">
        <v>0.23649999999999999</v>
      </c>
      <c r="F24" s="20">
        <v>0.28749999999999998</v>
      </c>
      <c r="G24" s="20">
        <v>0.25900000000000001</v>
      </c>
      <c r="H24" s="20">
        <v>0.2485</v>
      </c>
      <c r="I24" s="20" t="s">
        <v>38</v>
      </c>
      <c r="J24" s="20" t="s">
        <v>38</v>
      </c>
      <c r="K24" s="20" t="s">
        <v>38</v>
      </c>
      <c r="L24" s="20" t="s">
        <v>38</v>
      </c>
      <c r="M24" s="20" t="s">
        <v>38</v>
      </c>
      <c r="N24" s="20" t="s">
        <v>38</v>
      </c>
      <c r="O24" s="20" t="s">
        <v>38</v>
      </c>
      <c r="P24" s="20" t="s">
        <v>38</v>
      </c>
      <c r="Q24" s="20" t="s">
        <v>38</v>
      </c>
      <c r="R24" s="20" t="s">
        <v>38</v>
      </c>
      <c r="S24" s="16">
        <v>0.2535</v>
      </c>
      <c r="T24" s="20" t="s">
        <v>38</v>
      </c>
      <c r="U24" s="20" t="s">
        <v>38</v>
      </c>
      <c r="V24" s="20" t="s">
        <v>38</v>
      </c>
      <c r="W24" s="20" t="s">
        <v>38</v>
      </c>
      <c r="X24" s="20" t="s">
        <v>38</v>
      </c>
      <c r="Y24" s="20" t="s">
        <v>38</v>
      </c>
      <c r="Z24" s="20" t="s">
        <v>38</v>
      </c>
      <c r="AA24" s="20" t="s">
        <v>38</v>
      </c>
      <c r="AB24" s="20" t="s">
        <v>38</v>
      </c>
      <c r="AC24" s="20" t="s">
        <v>38</v>
      </c>
      <c r="AD24" s="20" t="s">
        <v>38</v>
      </c>
      <c r="AE24" s="20" t="s">
        <v>38</v>
      </c>
      <c r="AF24" s="20" t="s">
        <v>38</v>
      </c>
      <c r="AG24" s="20" t="s">
        <v>38</v>
      </c>
      <c r="AH24" s="20" t="s">
        <v>38</v>
      </c>
      <c r="AI24" s="20" t="s">
        <v>38</v>
      </c>
      <c r="AJ24" s="20" t="s">
        <v>38</v>
      </c>
      <c r="AK24" s="20" t="s">
        <v>38</v>
      </c>
      <c r="AL24" s="20" t="s">
        <v>38</v>
      </c>
      <c r="AM24" s="20" t="s">
        <v>38</v>
      </c>
      <c r="AN24" s="20" t="s">
        <v>38</v>
      </c>
      <c r="AO24" s="20" t="s">
        <v>38</v>
      </c>
      <c r="AP24" s="20" t="s">
        <v>38</v>
      </c>
      <c r="AQ24" s="20" t="s">
        <v>38</v>
      </c>
      <c r="AR24" s="20" t="s">
        <v>38</v>
      </c>
      <c r="AS24" s="20" t="s">
        <v>38</v>
      </c>
      <c r="AT24" s="20" t="s">
        <v>38</v>
      </c>
      <c r="AU24" s="20" t="s">
        <v>38</v>
      </c>
      <c r="AV24" s="20" t="s">
        <v>38</v>
      </c>
      <c r="AW24" s="20" t="s">
        <v>38</v>
      </c>
      <c r="AX24" s="20" t="s">
        <v>38</v>
      </c>
      <c r="AY24" s="20" t="s">
        <v>38</v>
      </c>
      <c r="AZ24" s="20" t="s">
        <v>38</v>
      </c>
      <c r="BA24" s="20" t="s">
        <v>38</v>
      </c>
      <c r="BB24" s="20" t="s">
        <v>38</v>
      </c>
      <c r="BC24" s="20" t="s">
        <v>38</v>
      </c>
      <c r="BD24" s="20" t="s">
        <v>38</v>
      </c>
      <c r="BE24" s="20" t="s">
        <v>38</v>
      </c>
      <c r="BF24" s="20" t="s">
        <v>38</v>
      </c>
      <c r="BG24" s="20" t="s">
        <v>38</v>
      </c>
      <c r="BH24" s="20" t="s">
        <v>38</v>
      </c>
      <c r="BI24" s="20" t="s">
        <v>38</v>
      </c>
      <c r="BJ24" s="20" t="s">
        <v>38</v>
      </c>
      <c r="BK24" s="20" t="s">
        <v>38</v>
      </c>
      <c r="BL24" s="20" t="s">
        <v>38</v>
      </c>
      <c r="BM24" s="20" t="s">
        <v>38</v>
      </c>
      <c r="BN24" s="20" t="s">
        <v>38</v>
      </c>
      <c r="BO24" s="20" t="s">
        <v>38</v>
      </c>
      <c r="BP24" s="20" t="s">
        <v>38</v>
      </c>
      <c r="BQ24" s="20" t="s">
        <v>38</v>
      </c>
      <c r="BR24" s="20" t="s">
        <v>38</v>
      </c>
      <c r="BS24" s="20" t="s">
        <v>38</v>
      </c>
      <c r="BT24" s="20" t="s">
        <v>38</v>
      </c>
      <c r="BU24" s="20" t="s">
        <v>38</v>
      </c>
      <c r="BV24" s="20" t="s">
        <v>38</v>
      </c>
      <c r="BW24" s="20" t="s">
        <v>38</v>
      </c>
      <c r="BX24" s="20" t="s">
        <v>38</v>
      </c>
      <c r="BY24" s="85" t="s">
        <v>38</v>
      </c>
      <c r="BZ24" s="85">
        <f>(0.328+0.307)/2</f>
        <v>0.3175</v>
      </c>
      <c r="CA24" s="87" t="s">
        <v>38</v>
      </c>
    </row>
    <row r="25" spans="1:79">
      <c r="A25" s="29">
        <v>14</v>
      </c>
      <c r="B25" s="82">
        <v>254403.568317</v>
      </c>
      <c r="C25" s="82">
        <v>4505486.8415299999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 t="s">
        <v>38</v>
      </c>
      <c r="O25" s="17" t="s">
        <v>38</v>
      </c>
      <c r="P25" s="17" t="s">
        <v>38</v>
      </c>
      <c r="Q25" s="17" t="s">
        <v>38</v>
      </c>
      <c r="R25" s="17" t="s">
        <v>38</v>
      </c>
      <c r="S25" s="17" t="s">
        <v>38</v>
      </c>
      <c r="T25" s="17" t="s">
        <v>38</v>
      </c>
      <c r="U25" s="17" t="s">
        <v>38</v>
      </c>
      <c r="V25" s="17" t="s">
        <v>38</v>
      </c>
      <c r="W25" s="17" t="s">
        <v>38</v>
      </c>
      <c r="X25" s="17" t="s">
        <v>38</v>
      </c>
      <c r="Y25" s="17" t="s">
        <v>38</v>
      </c>
      <c r="Z25" s="17" t="s">
        <v>38</v>
      </c>
      <c r="AA25" s="17" t="s">
        <v>38</v>
      </c>
      <c r="AB25" s="17" t="s">
        <v>38</v>
      </c>
      <c r="AC25" s="17" t="s">
        <v>38</v>
      </c>
      <c r="AD25" s="17" t="s">
        <v>38</v>
      </c>
      <c r="AE25" s="17" t="s">
        <v>38</v>
      </c>
      <c r="AF25" s="17" t="s">
        <v>38</v>
      </c>
      <c r="AG25" s="17" t="s">
        <v>38</v>
      </c>
      <c r="AH25" s="17" t="s">
        <v>38</v>
      </c>
      <c r="AI25" s="17" t="s">
        <v>38</v>
      </c>
      <c r="AJ25" s="17" t="s">
        <v>38</v>
      </c>
      <c r="AK25" s="17" t="s">
        <v>38</v>
      </c>
      <c r="AL25" s="17" t="s">
        <v>38</v>
      </c>
      <c r="AM25" s="17" t="s">
        <v>38</v>
      </c>
      <c r="AN25" s="17" t="s">
        <v>38</v>
      </c>
      <c r="AO25" s="17" t="s">
        <v>38</v>
      </c>
      <c r="AP25" s="17" t="s">
        <v>38</v>
      </c>
      <c r="AQ25" s="17" t="s">
        <v>38</v>
      </c>
      <c r="AR25" s="17" t="s">
        <v>38</v>
      </c>
      <c r="AS25" s="17" t="s">
        <v>38</v>
      </c>
      <c r="AT25" s="17" t="s">
        <v>38</v>
      </c>
      <c r="AU25" s="17" t="s">
        <v>38</v>
      </c>
      <c r="AV25" s="17" t="s">
        <v>38</v>
      </c>
      <c r="AW25" s="17" t="s">
        <v>38</v>
      </c>
      <c r="AX25" s="17" t="s">
        <v>38</v>
      </c>
      <c r="AY25" s="17" t="s">
        <v>38</v>
      </c>
      <c r="AZ25" s="17" t="s">
        <v>38</v>
      </c>
      <c r="BA25" s="17" t="s">
        <v>38</v>
      </c>
      <c r="BB25" s="17" t="s">
        <v>38</v>
      </c>
      <c r="BC25" s="17" t="s">
        <v>38</v>
      </c>
      <c r="BD25" s="20" t="s">
        <v>38</v>
      </c>
      <c r="BE25" s="20" t="s">
        <v>38</v>
      </c>
      <c r="BF25" s="20" t="s">
        <v>38</v>
      </c>
      <c r="BG25" s="20" t="s">
        <v>38</v>
      </c>
      <c r="BH25" s="20" t="s">
        <v>38</v>
      </c>
      <c r="BI25" s="20" t="s">
        <v>38</v>
      </c>
      <c r="BJ25" s="20" t="s">
        <v>38</v>
      </c>
      <c r="BK25" s="20" t="s">
        <v>38</v>
      </c>
      <c r="BL25" s="20" t="s">
        <v>38</v>
      </c>
      <c r="BM25" s="20" t="s">
        <v>38</v>
      </c>
      <c r="BN25" s="20" t="s">
        <v>38</v>
      </c>
      <c r="BO25" s="20" t="s">
        <v>38</v>
      </c>
      <c r="BP25" s="20" t="s">
        <v>38</v>
      </c>
      <c r="BQ25" s="20" t="s">
        <v>38</v>
      </c>
      <c r="BR25" s="20" t="s">
        <v>38</v>
      </c>
      <c r="BS25" s="20" t="s">
        <v>38</v>
      </c>
      <c r="BT25" s="20" t="s">
        <v>38</v>
      </c>
      <c r="BU25" s="20" t="s">
        <v>38</v>
      </c>
      <c r="BV25" s="20" t="s">
        <v>38</v>
      </c>
      <c r="BW25" s="20" t="s">
        <v>38</v>
      </c>
      <c r="BX25" s="20" t="s">
        <v>38</v>
      </c>
      <c r="BY25" s="85" t="s">
        <v>38</v>
      </c>
      <c r="BZ25" s="85" t="s">
        <v>38</v>
      </c>
      <c r="CA25" s="86" t="s">
        <v>38</v>
      </c>
    </row>
    <row r="26" spans="1:79">
      <c r="A26" s="29">
        <v>15</v>
      </c>
      <c r="B26" s="82">
        <v>254457.11685300001</v>
      </c>
      <c r="C26" s="82">
        <v>4505584.8307699999</v>
      </c>
      <c r="D26" s="20" t="s">
        <v>38</v>
      </c>
      <c r="E26" s="20">
        <v>0.3115</v>
      </c>
      <c r="F26" s="20">
        <v>0.33700000000000002</v>
      </c>
      <c r="G26" s="20">
        <v>0.34550000000000003</v>
      </c>
      <c r="H26" s="20" t="s">
        <v>38</v>
      </c>
      <c r="I26" s="20">
        <v>0.27900000000000003</v>
      </c>
      <c r="J26" s="20">
        <v>0.28399999999999997</v>
      </c>
      <c r="K26" s="20">
        <v>0.24349999999999999</v>
      </c>
      <c r="L26" s="20" t="s">
        <v>38</v>
      </c>
      <c r="M26" s="20" t="s">
        <v>38</v>
      </c>
      <c r="N26" s="17" t="s">
        <v>38</v>
      </c>
      <c r="O26" s="16">
        <v>0.217</v>
      </c>
      <c r="P26" s="17" t="s">
        <v>38</v>
      </c>
      <c r="Q26" s="17" t="s">
        <v>38</v>
      </c>
      <c r="R26" s="17" t="s">
        <v>38</v>
      </c>
      <c r="S26" s="17" t="s">
        <v>38</v>
      </c>
      <c r="T26" s="16">
        <v>0.45</v>
      </c>
      <c r="U26" s="16">
        <v>0.47499999999999998</v>
      </c>
      <c r="V26" s="16">
        <v>0.47399999999999998</v>
      </c>
      <c r="W26" s="16">
        <v>0.53600000000000003</v>
      </c>
      <c r="X26" s="19">
        <v>0.51900000000000002</v>
      </c>
      <c r="Y26" s="7">
        <v>0.45800000000000002</v>
      </c>
      <c r="Z26" s="19">
        <v>0.45600000000000002</v>
      </c>
      <c r="AA26" s="19">
        <v>0.51700000000000002</v>
      </c>
      <c r="AB26" s="19">
        <v>0.49199999999999999</v>
      </c>
      <c r="AC26" s="7">
        <v>0.57999999999999996</v>
      </c>
      <c r="AD26" s="24">
        <v>0.40500000000000003</v>
      </c>
      <c r="AE26" s="24">
        <v>0.35399999999999998</v>
      </c>
      <c r="AF26" s="24">
        <v>0.38600000000000001</v>
      </c>
      <c r="AG26" s="24">
        <v>0.32900000000000001</v>
      </c>
      <c r="AH26" s="24">
        <v>0.27900000000000003</v>
      </c>
      <c r="AI26" s="24">
        <v>0.314</v>
      </c>
      <c r="AJ26" s="24">
        <v>0.41699999999999998</v>
      </c>
      <c r="AK26" s="24">
        <v>0.30599999999999999</v>
      </c>
      <c r="AL26" s="24">
        <v>0.32900000000000001</v>
      </c>
      <c r="AM26" s="24">
        <v>0.46400000000000002</v>
      </c>
      <c r="AN26" s="40">
        <v>0.375</v>
      </c>
      <c r="AO26" s="40">
        <v>0.318</v>
      </c>
      <c r="AP26" s="17" t="s">
        <v>38</v>
      </c>
      <c r="AQ26" s="40">
        <v>0.31</v>
      </c>
      <c r="AR26" s="40">
        <v>0.313</v>
      </c>
      <c r="AS26" s="40">
        <v>0.28599999999999998</v>
      </c>
      <c r="AT26" s="17" t="s">
        <v>38</v>
      </c>
      <c r="AU26" s="40">
        <v>0.26300000000000001</v>
      </c>
      <c r="AV26" s="17" t="s">
        <v>38</v>
      </c>
      <c r="AW26" s="40">
        <v>0.23300000000000001</v>
      </c>
      <c r="AX26" s="40">
        <v>0.219</v>
      </c>
      <c r="AY26" s="40">
        <v>0.219</v>
      </c>
      <c r="AZ26" s="40">
        <v>0.22900000000000001</v>
      </c>
      <c r="BA26" s="40">
        <v>0.31900000000000001</v>
      </c>
      <c r="BB26" s="49">
        <v>0.27250000000000002</v>
      </c>
      <c r="BC26" s="40">
        <v>0.28549999999999998</v>
      </c>
      <c r="BD26" s="20" t="s">
        <v>38</v>
      </c>
      <c r="BE26" s="50">
        <v>0.29749999999999999</v>
      </c>
      <c r="BF26" s="50">
        <v>0.29849999999999999</v>
      </c>
      <c r="BG26" s="40">
        <v>0.36299999999999999</v>
      </c>
      <c r="BH26" s="38">
        <v>0.33050000000000002</v>
      </c>
      <c r="BI26" s="38">
        <v>0.36099999999999999</v>
      </c>
      <c r="BJ26" s="38">
        <v>0.39950000000000002</v>
      </c>
      <c r="BK26" s="38">
        <v>0.35</v>
      </c>
      <c r="BL26" s="38">
        <v>0.35399999999999998</v>
      </c>
      <c r="BM26" s="38">
        <v>0.39650000000000002</v>
      </c>
      <c r="BN26" s="40">
        <v>0.38350000000000001</v>
      </c>
      <c r="BO26" s="40">
        <v>0.36649999999999999</v>
      </c>
      <c r="BP26" s="38">
        <v>0.32750000000000001</v>
      </c>
      <c r="BQ26" s="38">
        <v>0.27350000000000002</v>
      </c>
      <c r="BR26" s="41">
        <v>0.27500000000000002</v>
      </c>
      <c r="BS26" s="41">
        <v>0.26800000000000002</v>
      </c>
      <c r="BT26" s="41">
        <v>0.26050000000000001</v>
      </c>
      <c r="BU26" s="42">
        <v>0.25</v>
      </c>
      <c r="BV26" s="41">
        <v>0.246</v>
      </c>
      <c r="BW26" s="42">
        <v>0.26050000000000001</v>
      </c>
      <c r="BX26" s="42" t="s">
        <v>38</v>
      </c>
      <c r="BY26" s="85">
        <f>(0.33+0.335)/2</f>
        <v>0.33250000000000002</v>
      </c>
      <c r="BZ26" s="85">
        <f>(0.336+0.327)/2</f>
        <v>0.33150000000000002</v>
      </c>
      <c r="CA26" s="87">
        <v>0.46899999999999997</v>
      </c>
    </row>
    <row r="27" spans="1:79">
      <c r="A27" s="29" t="s">
        <v>10</v>
      </c>
      <c r="B27" s="82">
        <v>254458.34024699999</v>
      </c>
      <c r="C27" s="82">
        <v>4505584.0551300002</v>
      </c>
      <c r="D27" s="20">
        <v>0.29849999999999999</v>
      </c>
      <c r="E27" s="20">
        <v>0.44850000000000001</v>
      </c>
      <c r="F27" s="20">
        <v>0.44400000000000001</v>
      </c>
      <c r="G27" s="20">
        <v>0.4355</v>
      </c>
      <c r="H27" s="20">
        <v>0.41899999999999998</v>
      </c>
      <c r="I27" s="20">
        <v>0.3075</v>
      </c>
      <c r="J27" s="20">
        <v>0.29499999999999998</v>
      </c>
      <c r="K27" s="20">
        <v>0.2175</v>
      </c>
      <c r="L27" s="20">
        <v>0.252</v>
      </c>
      <c r="M27" s="20">
        <v>0.20850000000000002</v>
      </c>
      <c r="N27" s="16">
        <v>0.23799999999999999</v>
      </c>
      <c r="O27" s="16">
        <v>0.184</v>
      </c>
      <c r="P27" s="16">
        <v>0.1845</v>
      </c>
      <c r="Q27" s="16">
        <v>0.28899999999999998</v>
      </c>
      <c r="R27" s="16">
        <v>0.32100000000000001</v>
      </c>
      <c r="S27" s="16">
        <v>0.2525</v>
      </c>
      <c r="T27" s="16">
        <v>0.48899999999999999</v>
      </c>
      <c r="U27" s="16">
        <v>0.498</v>
      </c>
      <c r="V27" s="16">
        <v>0.46300000000000002</v>
      </c>
      <c r="W27" s="16">
        <v>0.57699999999999996</v>
      </c>
      <c r="X27" s="19">
        <v>0.52900000000000003</v>
      </c>
      <c r="Y27" s="7" t="s">
        <v>38</v>
      </c>
      <c r="Z27" s="19">
        <v>0.56599999999999995</v>
      </c>
      <c r="AA27" s="19">
        <v>0.55900000000000005</v>
      </c>
      <c r="AB27" s="19">
        <v>0.50700000000000001</v>
      </c>
      <c r="AC27" s="7">
        <v>0.51800000000000002</v>
      </c>
      <c r="AD27" s="24">
        <v>0.35599999999999998</v>
      </c>
      <c r="AE27" s="24" t="s">
        <v>38</v>
      </c>
      <c r="AF27" s="24">
        <v>0.26300000000000001</v>
      </c>
      <c r="AG27" s="24">
        <v>0.24299999999999999</v>
      </c>
      <c r="AH27" s="24">
        <v>0.26300000000000001</v>
      </c>
      <c r="AI27" s="24">
        <v>0.245</v>
      </c>
      <c r="AJ27" s="24" t="s">
        <v>38</v>
      </c>
      <c r="AK27" s="24">
        <v>0.23200000000000001</v>
      </c>
      <c r="AL27" s="24" t="s">
        <v>38</v>
      </c>
      <c r="AM27" s="24">
        <v>0.46100000000000002</v>
      </c>
      <c r="AN27" s="40">
        <v>0.38</v>
      </c>
      <c r="AO27" s="17" t="s">
        <v>38</v>
      </c>
      <c r="AP27" s="17" t="s">
        <v>38</v>
      </c>
      <c r="AQ27" s="40">
        <v>0.34699999999999998</v>
      </c>
      <c r="AR27" s="40" t="s">
        <v>38</v>
      </c>
      <c r="AS27" s="40">
        <v>0.36499999999999999</v>
      </c>
      <c r="AT27" s="17" t="s">
        <v>38</v>
      </c>
      <c r="AU27" s="40">
        <v>0.31900000000000001</v>
      </c>
      <c r="AV27" s="17" t="s">
        <v>38</v>
      </c>
      <c r="AW27" s="17" t="s">
        <v>38</v>
      </c>
      <c r="AX27" s="17" t="s">
        <v>38</v>
      </c>
      <c r="AY27" s="40">
        <v>0.30199999999999999</v>
      </c>
      <c r="AZ27" s="40">
        <v>0.25600000000000001</v>
      </c>
      <c r="BA27" s="40">
        <v>0.34100000000000003</v>
      </c>
      <c r="BB27" s="49">
        <v>0.2555</v>
      </c>
      <c r="BC27" s="40">
        <v>0.3785</v>
      </c>
      <c r="BD27" s="20" t="s">
        <v>38</v>
      </c>
      <c r="BE27" s="50">
        <v>0.31850000000000001</v>
      </c>
      <c r="BF27" s="50">
        <v>0.309</v>
      </c>
      <c r="BG27" s="40">
        <v>0.4345</v>
      </c>
      <c r="BH27" s="38" t="s">
        <v>38</v>
      </c>
      <c r="BI27" s="38" t="s">
        <v>38</v>
      </c>
      <c r="BJ27" s="39" t="s">
        <v>38</v>
      </c>
      <c r="BK27" s="38">
        <v>0.42949999999999999</v>
      </c>
      <c r="BL27" s="38">
        <v>0.35149999999999998</v>
      </c>
      <c r="BM27" s="39" t="s">
        <v>38</v>
      </c>
      <c r="BN27" s="39" t="s">
        <v>38</v>
      </c>
      <c r="BO27" s="40" t="s">
        <v>38</v>
      </c>
      <c r="BP27" s="38" t="s">
        <v>38</v>
      </c>
      <c r="BQ27" s="38">
        <v>0.28649999999999998</v>
      </c>
      <c r="BR27" s="41">
        <v>0.29249999999999998</v>
      </c>
      <c r="BS27" s="41">
        <v>0.29799999999999999</v>
      </c>
      <c r="BT27" s="41">
        <v>0.29499999999999998</v>
      </c>
      <c r="BU27" s="42">
        <v>0.27250000000000002</v>
      </c>
      <c r="BV27" s="41" t="s">
        <v>38</v>
      </c>
      <c r="BW27" s="42">
        <v>0.27200000000000002</v>
      </c>
      <c r="BX27" s="42">
        <v>0.30449999999999999</v>
      </c>
      <c r="BY27" s="85">
        <f>(0.401+0.42)/2</f>
        <v>0.41049999999999998</v>
      </c>
      <c r="BZ27" s="85">
        <f>(0.374+0.373)/2</f>
        <v>0.3735</v>
      </c>
      <c r="CA27" s="87">
        <v>0.52700000000000002</v>
      </c>
    </row>
    <row r="28" spans="1:79">
      <c r="A28" s="29" t="s">
        <v>11</v>
      </c>
      <c r="B28" s="82">
        <v>254456.479143</v>
      </c>
      <c r="C28" s="82">
        <v>4505583.56623</v>
      </c>
      <c r="D28" s="20">
        <v>0.30299999999999999</v>
      </c>
      <c r="E28" s="20">
        <v>0.34399999999999997</v>
      </c>
      <c r="F28" s="20">
        <v>0.41349999999999998</v>
      </c>
      <c r="G28" s="20">
        <v>0.38849999999999996</v>
      </c>
      <c r="H28" s="20">
        <v>0.4395</v>
      </c>
      <c r="I28" s="20">
        <v>0.20899999999999999</v>
      </c>
      <c r="J28" s="20">
        <v>0.22</v>
      </c>
      <c r="K28" s="20">
        <v>0.1905</v>
      </c>
      <c r="L28" s="20">
        <v>0.19750000000000001</v>
      </c>
      <c r="M28" s="20">
        <v>0.14749999999999999</v>
      </c>
      <c r="N28" s="16">
        <v>0.214</v>
      </c>
      <c r="O28" s="16">
        <v>0.17849999999999999</v>
      </c>
      <c r="P28" s="16" t="s">
        <v>38</v>
      </c>
      <c r="Q28" s="16">
        <v>0.20899999999999999</v>
      </c>
      <c r="R28" s="16" t="s">
        <v>38</v>
      </c>
      <c r="S28" s="16" t="s">
        <v>38</v>
      </c>
      <c r="T28" s="16">
        <v>0.434</v>
      </c>
      <c r="U28" s="16">
        <v>0.41099999999999998</v>
      </c>
      <c r="V28" s="16">
        <v>0.42</v>
      </c>
      <c r="W28" s="16">
        <v>0.53300000000000003</v>
      </c>
      <c r="X28" s="19">
        <v>0.46700000000000003</v>
      </c>
      <c r="Y28" s="7" t="s">
        <v>38</v>
      </c>
      <c r="Z28" s="19">
        <v>0.45900000000000002</v>
      </c>
      <c r="AA28" s="19">
        <v>0.46700000000000003</v>
      </c>
      <c r="AB28" s="19">
        <v>0.48299999999999998</v>
      </c>
      <c r="AC28" s="7">
        <v>0.45500000000000002</v>
      </c>
      <c r="AD28" s="24">
        <v>0.44900000000000001</v>
      </c>
      <c r="AE28" s="24" t="s">
        <v>38</v>
      </c>
      <c r="AF28" s="24">
        <v>0.34399999999999997</v>
      </c>
      <c r="AG28" s="24">
        <v>0.27400000000000002</v>
      </c>
      <c r="AH28" s="24">
        <v>0.27300000000000002</v>
      </c>
      <c r="AI28" s="24">
        <v>0.30199999999999999</v>
      </c>
      <c r="AJ28" s="24" t="s">
        <v>38</v>
      </c>
      <c r="AK28" s="24">
        <v>0.26400000000000001</v>
      </c>
      <c r="AL28" s="24" t="s">
        <v>38</v>
      </c>
      <c r="AM28" s="24">
        <v>0.435</v>
      </c>
      <c r="AN28" s="40">
        <v>0.32800000000000001</v>
      </c>
      <c r="AO28" s="17" t="s">
        <v>38</v>
      </c>
      <c r="AP28" s="17" t="s">
        <v>38</v>
      </c>
      <c r="AQ28" s="40">
        <v>0.32600000000000001</v>
      </c>
      <c r="AR28" s="40" t="s">
        <v>38</v>
      </c>
      <c r="AS28" s="40">
        <v>0.23400000000000001</v>
      </c>
      <c r="AT28" s="17" t="s">
        <v>38</v>
      </c>
      <c r="AU28" s="40">
        <v>0.193</v>
      </c>
      <c r="AV28" s="17" t="s">
        <v>38</v>
      </c>
      <c r="AW28" s="17" t="s">
        <v>38</v>
      </c>
      <c r="AX28" s="17" t="s">
        <v>38</v>
      </c>
      <c r="AY28" s="40">
        <v>0.13300000000000001</v>
      </c>
      <c r="AZ28" s="40">
        <v>0.14299999999999999</v>
      </c>
      <c r="BA28" s="40">
        <v>0.20899999999999999</v>
      </c>
      <c r="BB28" s="49">
        <v>0.20350000000000001</v>
      </c>
      <c r="BC28" s="40">
        <v>0.29549999999999998</v>
      </c>
      <c r="BD28" s="20" t="s">
        <v>38</v>
      </c>
      <c r="BE28" s="50">
        <v>0.2215</v>
      </c>
      <c r="BF28" s="50">
        <v>0.216</v>
      </c>
      <c r="BG28" s="40">
        <v>0.46</v>
      </c>
      <c r="BH28" s="38" t="s">
        <v>38</v>
      </c>
      <c r="BI28" s="38" t="s">
        <v>38</v>
      </c>
      <c r="BJ28" s="39" t="s">
        <v>38</v>
      </c>
      <c r="BK28" s="38">
        <v>0.41849999999999998</v>
      </c>
      <c r="BL28" s="38">
        <v>0.42449999999999999</v>
      </c>
      <c r="BM28" s="39" t="s">
        <v>38</v>
      </c>
      <c r="BN28" s="39" t="s">
        <v>38</v>
      </c>
      <c r="BO28" s="40" t="s">
        <v>38</v>
      </c>
      <c r="BP28" s="38" t="s">
        <v>38</v>
      </c>
      <c r="BQ28" s="38">
        <v>0.16500000000000001</v>
      </c>
      <c r="BR28" s="41">
        <v>0.22550000000000001</v>
      </c>
      <c r="BS28" s="41">
        <v>0.222</v>
      </c>
      <c r="BT28" s="41">
        <v>0.17649999999999999</v>
      </c>
      <c r="BU28" s="42">
        <v>0.16899999999999998</v>
      </c>
      <c r="BV28" s="41" t="s">
        <v>38</v>
      </c>
      <c r="BW28" s="42">
        <v>0.2185</v>
      </c>
      <c r="BX28" s="42" t="s">
        <v>38</v>
      </c>
      <c r="BY28" s="85">
        <f>(0.391+0.362)/2</f>
        <v>0.3765</v>
      </c>
      <c r="BZ28" s="85">
        <f>(0.367+0.335)/2</f>
        <v>0.35099999999999998</v>
      </c>
      <c r="CA28" s="87">
        <v>0.51200000000000001</v>
      </c>
    </row>
    <row r="29" spans="1:79">
      <c r="A29" s="29" t="s">
        <v>12</v>
      </c>
      <c r="B29" s="82">
        <v>254455.93775099999</v>
      </c>
      <c r="C29" s="82">
        <v>4505585.4930299995</v>
      </c>
      <c r="D29" s="20">
        <v>0.35549999999999998</v>
      </c>
      <c r="E29" s="20">
        <v>0.33200000000000002</v>
      </c>
      <c r="F29" s="20">
        <v>0.372</v>
      </c>
      <c r="G29" s="20">
        <v>0.36199999999999999</v>
      </c>
      <c r="H29" s="20">
        <v>0.35399999999999998</v>
      </c>
      <c r="I29" s="20">
        <v>0.307</v>
      </c>
      <c r="J29" s="20">
        <v>0.29749999999999999</v>
      </c>
      <c r="K29" s="20">
        <v>0.25900000000000001</v>
      </c>
      <c r="L29" s="20">
        <v>0.26200000000000001</v>
      </c>
      <c r="M29" s="20">
        <v>0.24349999999999999</v>
      </c>
      <c r="N29" s="16">
        <v>0.2445</v>
      </c>
      <c r="O29" s="16">
        <v>0.23349999999999999</v>
      </c>
      <c r="P29" s="16" t="s">
        <v>38</v>
      </c>
      <c r="Q29" s="16">
        <v>0.28249999999999997</v>
      </c>
      <c r="R29" s="16" t="s">
        <v>38</v>
      </c>
      <c r="S29" s="16" t="s">
        <v>38</v>
      </c>
      <c r="T29" s="16">
        <v>0.41099999999999998</v>
      </c>
      <c r="U29" s="16">
        <v>0.40799999999999997</v>
      </c>
      <c r="V29" s="16">
        <v>0.39100000000000001</v>
      </c>
      <c r="W29" s="16">
        <v>0.42599999999999999</v>
      </c>
      <c r="X29" s="19">
        <v>0.41099999999999998</v>
      </c>
      <c r="Y29" s="7" t="s">
        <v>38</v>
      </c>
      <c r="Z29" s="19">
        <v>0.40500000000000003</v>
      </c>
      <c r="AA29" s="19">
        <v>0.39900000000000002</v>
      </c>
      <c r="AB29" s="19">
        <v>0.41799999999999998</v>
      </c>
      <c r="AC29" s="7">
        <v>0.438</v>
      </c>
      <c r="AD29" s="24">
        <v>0.39500000000000002</v>
      </c>
      <c r="AE29" s="24" t="s">
        <v>38</v>
      </c>
      <c r="AF29" s="24">
        <v>0.28699999999999998</v>
      </c>
      <c r="AG29" s="24">
        <v>0.28299999999999997</v>
      </c>
      <c r="AH29" s="24">
        <v>0.248</v>
      </c>
      <c r="AI29" s="24">
        <v>0.317</v>
      </c>
      <c r="AJ29" s="24" t="s">
        <v>38</v>
      </c>
      <c r="AK29" s="24">
        <v>0.28499999999999998</v>
      </c>
      <c r="AL29" s="24" t="s">
        <v>38</v>
      </c>
      <c r="AM29" s="24">
        <v>0.44900000000000001</v>
      </c>
      <c r="AN29" s="40">
        <v>0.32</v>
      </c>
      <c r="AO29" s="17" t="s">
        <v>38</v>
      </c>
      <c r="AP29" s="17" t="s">
        <v>38</v>
      </c>
      <c r="AQ29" s="40">
        <v>0.36499999999999999</v>
      </c>
      <c r="AR29" s="40" t="s">
        <v>38</v>
      </c>
      <c r="AS29" s="40">
        <v>0.34599999999999997</v>
      </c>
      <c r="AT29" s="17" t="s">
        <v>38</v>
      </c>
      <c r="AU29" s="40">
        <v>0.29899999999999999</v>
      </c>
      <c r="AV29" s="17" t="s">
        <v>38</v>
      </c>
      <c r="AW29" s="17" t="s">
        <v>38</v>
      </c>
      <c r="AX29" s="17" t="s">
        <v>38</v>
      </c>
      <c r="AY29" s="40">
        <v>0.23799999999999999</v>
      </c>
      <c r="AZ29" s="40">
        <v>0.24099999999999999</v>
      </c>
      <c r="BA29" s="40">
        <v>0.34</v>
      </c>
      <c r="BB29" s="49">
        <v>0.3165</v>
      </c>
      <c r="BC29" s="40">
        <v>0.34</v>
      </c>
      <c r="BD29" s="20" t="s">
        <v>38</v>
      </c>
      <c r="BE29" s="50">
        <v>0.35199999999999998</v>
      </c>
      <c r="BF29" s="50">
        <v>0.25800000000000001</v>
      </c>
      <c r="BG29" s="40">
        <v>0.40749999999999997</v>
      </c>
      <c r="BH29" s="38" t="s">
        <v>38</v>
      </c>
      <c r="BI29" s="38" t="s">
        <v>38</v>
      </c>
      <c r="BJ29" s="39" t="s">
        <v>38</v>
      </c>
      <c r="BK29" s="38">
        <v>0.34399999999999997</v>
      </c>
      <c r="BL29" s="38">
        <v>0.34</v>
      </c>
      <c r="BM29" s="39" t="s">
        <v>38</v>
      </c>
      <c r="BN29" s="39" t="s">
        <v>38</v>
      </c>
      <c r="BO29" s="40" t="s">
        <v>38</v>
      </c>
      <c r="BP29" s="38" t="s">
        <v>38</v>
      </c>
      <c r="BQ29" s="38">
        <v>0.3135</v>
      </c>
      <c r="BR29" s="41">
        <v>0.30249999999999999</v>
      </c>
      <c r="BS29" s="41">
        <v>0.3075</v>
      </c>
      <c r="BT29" s="41">
        <v>0.316</v>
      </c>
      <c r="BU29" s="42">
        <v>0.28449999999999998</v>
      </c>
      <c r="BV29" s="41" t="s">
        <v>38</v>
      </c>
      <c r="BW29" s="42">
        <v>0.27450000000000002</v>
      </c>
      <c r="BX29" s="42">
        <v>0.27500000000000002</v>
      </c>
      <c r="BY29" s="85">
        <f>(0.358+0.357)/2</f>
        <v>0.35749999999999998</v>
      </c>
      <c r="BZ29" s="85">
        <f>(0.352+0.346)/2</f>
        <v>0.34899999999999998</v>
      </c>
      <c r="CA29" s="87">
        <v>0.496</v>
      </c>
    </row>
    <row r="30" spans="1:79">
      <c r="A30" s="29" t="s">
        <v>13</v>
      </c>
      <c r="B30" s="82">
        <v>254457.878004</v>
      </c>
      <c r="C30" s="82">
        <v>4505586.0580200003</v>
      </c>
      <c r="D30" s="20">
        <v>0.32450000000000001</v>
      </c>
      <c r="E30" s="20">
        <v>0.34</v>
      </c>
      <c r="F30" s="20">
        <v>0.34100000000000003</v>
      </c>
      <c r="G30" s="20">
        <v>0.36399999999999999</v>
      </c>
      <c r="H30" s="20">
        <v>0.35799999999999998</v>
      </c>
      <c r="I30" s="20">
        <v>0.28749999999999998</v>
      </c>
      <c r="J30" s="20">
        <v>0.27750000000000002</v>
      </c>
      <c r="K30" s="20">
        <v>0.23799999999999999</v>
      </c>
      <c r="L30" s="20">
        <v>0.23599999999999999</v>
      </c>
      <c r="M30" s="20">
        <v>0.22850000000000001</v>
      </c>
      <c r="N30" s="16">
        <v>0.22650000000000001</v>
      </c>
      <c r="O30" s="16">
        <v>0.216</v>
      </c>
      <c r="P30" s="16" t="s">
        <v>38</v>
      </c>
      <c r="Q30" s="16">
        <v>0.27900000000000003</v>
      </c>
      <c r="R30" s="16" t="s">
        <v>38</v>
      </c>
      <c r="S30" s="16" t="s">
        <v>38</v>
      </c>
      <c r="T30" s="16">
        <v>0.40400000000000003</v>
      </c>
      <c r="U30" s="16">
        <v>0.40699999999999997</v>
      </c>
      <c r="V30" s="16">
        <v>0.39800000000000002</v>
      </c>
      <c r="W30" s="16">
        <v>0.44700000000000001</v>
      </c>
      <c r="X30" s="19">
        <v>0.38500000000000001</v>
      </c>
      <c r="Y30" s="7" t="s">
        <v>38</v>
      </c>
      <c r="Z30" s="19">
        <v>0.42299999999999999</v>
      </c>
      <c r="AA30" s="19">
        <v>0.43</v>
      </c>
      <c r="AB30" s="19">
        <v>0.39900000000000002</v>
      </c>
      <c r="AC30" s="7">
        <v>0.434</v>
      </c>
      <c r="AD30" s="24">
        <v>0.41699999999999998</v>
      </c>
      <c r="AE30" s="24" t="s">
        <v>38</v>
      </c>
      <c r="AF30" s="24">
        <v>0.376</v>
      </c>
      <c r="AG30" s="24">
        <v>0.30599999999999999</v>
      </c>
      <c r="AH30" s="24">
        <v>0.27100000000000002</v>
      </c>
      <c r="AI30" s="24">
        <v>0.33500000000000002</v>
      </c>
      <c r="AJ30" s="24" t="s">
        <v>38</v>
      </c>
      <c r="AK30" s="24">
        <v>0.308</v>
      </c>
      <c r="AL30" s="24" t="s">
        <v>38</v>
      </c>
      <c r="AM30" s="24">
        <v>0.39100000000000001</v>
      </c>
      <c r="AN30" s="40">
        <v>0.31900000000000001</v>
      </c>
      <c r="AO30" s="17" t="s">
        <v>38</v>
      </c>
      <c r="AP30" s="17" t="s">
        <v>38</v>
      </c>
      <c r="AQ30" s="40">
        <v>0.185</v>
      </c>
      <c r="AR30" s="40" t="s">
        <v>38</v>
      </c>
      <c r="AS30" s="40">
        <v>0.28499999999999998</v>
      </c>
      <c r="AT30" s="17" t="s">
        <v>38</v>
      </c>
      <c r="AU30" s="40">
        <v>0.26200000000000001</v>
      </c>
      <c r="AV30" s="17" t="s">
        <v>38</v>
      </c>
      <c r="AW30" s="17" t="s">
        <v>38</v>
      </c>
      <c r="AX30" s="17" t="s">
        <v>38</v>
      </c>
      <c r="AY30" s="40">
        <v>0.222</v>
      </c>
      <c r="AZ30" s="40">
        <v>0.22800000000000001</v>
      </c>
      <c r="BA30" s="40">
        <v>0.30599999999999999</v>
      </c>
      <c r="BB30" s="49">
        <v>0.29749999999999999</v>
      </c>
      <c r="BC30" s="40">
        <v>0.32500000000000001</v>
      </c>
      <c r="BD30" s="20" t="s">
        <v>38</v>
      </c>
      <c r="BE30" s="50">
        <v>0.32250000000000001</v>
      </c>
      <c r="BF30" s="50">
        <v>0.30099999999999999</v>
      </c>
      <c r="BG30" s="40">
        <v>0.41400000000000003</v>
      </c>
      <c r="BH30" s="38" t="s">
        <v>38</v>
      </c>
      <c r="BI30" s="38" t="s">
        <v>38</v>
      </c>
      <c r="BJ30" s="39" t="s">
        <v>38</v>
      </c>
      <c r="BK30" s="38">
        <v>0.3765</v>
      </c>
      <c r="BL30" s="38">
        <v>0.3775</v>
      </c>
      <c r="BM30" s="39" t="s">
        <v>38</v>
      </c>
      <c r="BN30" s="39" t="s">
        <v>38</v>
      </c>
      <c r="BO30" s="40" t="s">
        <v>38</v>
      </c>
      <c r="BP30" s="38" t="s">
        <v>38</v>
      </c>
      <c r="BQ30" s="38">
        <v>0.27500000000000002</v>
      </c>
      <c r="BR30" s="41">
        <v>0.26900000000000002</v>
      </c>
      <c r="BS30" s="41">
        <v>0.27150000000000002</v>
      </c>
      <c r="BT30" s="41">
        <v>0.27150000000000002</v>
      </c>
      <c r="BU30" s="42">
        <v>0.2485</v>
      </c>
      <c r="BV30" s="41" t="s">
        <v>38</v>
      </c>
      <c r="BW30" s="42">
        <v>0.26350000000000001</v>
      </c>
      <c r="BX30" s="42" t="s">
        <v>38</v>
      </c>
      <c r="BY30" s="85">
        <f>(0.382+0.381)/2</f>
        <v>0.38150000000000001</v>
      </c>
      <c r="BZ30" s="85">
        <f>(0.337+0.335)/2</f>
        <v>0.33600000000000002</v>
      </c>
      <c r="CA30" s="87">
        <v>0.47449999999999998</v>
      </c>
    </row>
    <row r="31" spans="1:79">
      <c r="A31" s="29">
        <v>22</v>
      </c>
      <c r="B31" s="82">
        <v>254501.52615300001</v>
      </c>
      <c r="C31" s="82">
        <v>4505594.6980400002</v>
      </c>
      <c r="D31" s="20" t="s">
        <v>38</v>
      </c>
      <c r="E31" s="20">
        <v>0.32550000000000001</v>
      </c>
      <c r="F31" s="20">
        <v>0.34350000000000003</v>
      </c>
      <c r="G31" s="20">
        <v>0.34699999999999998</v>
      </c>
      <c r="H31" s="20">
        <v>0.35449999999999998</v>
      </c>
      <c r="I31" s="20">
        <v>0.30549999999999999</v>
      </c>
      <c r="J31" s="20">
        <v>0.30349999999999999</v>
      </c>
      <c r="K31" s="20">
        <v>0.2455</v>
      </c>
      <c r="L31" s="20">
        <v>0.30049999999999999</v>
      </c>
      <c r="M31" s="20">
        <v>0.27150000000000002</v>
      </c>
      <c r="N31" s="16">
        <v>0.29499999999999998</v>
      </c>
      <c r="O31" s="16">
        <v>0.26750000000000002</v>
      </c>
      <c r="P31" s="16">
        <v>0.26300000000000001</v>
      </c>
      <c r="Q31" s="16">
        <v>0.28449999999999998</v>
      </c>
      <c r="R31" s="16">
        <v>0.32600000000000001</v>
      </c>
      <c r="S31" s="16">
        <v>0.34449999999999997</v>
      </c>
      <c r="T31" s="19">
        <v>0.39800000000000002</v>
      </c>
      <c r="U31" s="7">
        <v>0.38900000000000001</v>
      </c>
      <c r="V31" s="19">
        <v>0.377</v>
      </c>
      <c r="W31" s="19">
        <v>0.439</v>
      </c>
      <c r="X31" s="19">
        <v>0.36499999999999999</v>
      </c>
      <c r="Y31" s="19">
        <v>0.38100000000000001</v>
      </c>
      <c r="Z31" s="19">
        <v>0.38100000000000001</v>
      </c>
      <c r="AA31" s="19">
        <v>0.371</v>
      </c>
      <c r="AB31" s="19">
        <v>0.38500000000000001</v>
      </c>
      <c r="AC31" s="7">
        <v>0.39300000000000002</v>
      </c>
      <c r="AD31" s="24">
        <v>0.42699999999999999</v>
      </c>
      <c r="AE31" s="24">
        <v>0.34399999999999997</v>
      </c>
      <c r="AF31" s="24">
        <v>0.36299999999999999</v>
      </c>
      <c r="AG31" s="24">
        <v>0.315</v>
      </c>
      <c r="AH31" s="24">
        <v>0.29099999999999998</v>
      </c>
      <c r="AI31" s="24">
        <v>0.27900000000000003</v>
      </c>
      <c r="AJ31" s="24">
        <v>0.312</v>
      </c>
      <c r="AK31" s="24">
        <v>0.34499999999999997</v>
      </c>
      <c r="AL31" s="24">
        <v>0.44500000000000001</v>
      </c>
      <c r="AM31" s="24">
        <v>0.40200000000000002</v>
      </c>
      <c r="AN31" s="51">
        <v>0.315</v>
      </c>
      <c r="AO31" s="51">
        <v>0.253</v>
      </c>
      <c r="AP31" s="17" t="s">
        <v>38</v>
      </c>
      <c r="AQ31" s="51">
        <v>0.38</v>
      </c>
      <c r="AR31" s="51">
        <v>0.36699999999999999</v>
      </c>
      <c r="AS31" s="51">
        <v>0.36599999999999999</v>
      </c>
      <c r="AT31" s="51">
        <v>0.35599999999999998</v>
      </c>
      <c r="AU31" s="51">
        <v>0.34899999999999998</v>
      </c>
      <c r="AV31" s="51">
        <v>0.34</v>
      </c>
      <c r="AW31" s="51">
        <v>0.33200000000000002</v>
      </c>
      <c r="AX31" s="51" t="s">
        <v>38</v>
      </c>
      <c r="AY31" s="51">
        <v>0.33500000000000002</v>
      </c>
      <c r="AZ31" s="51">
        <v>0.33400000000000002</v>
      </c>
      <c r="BA31" s="51">
        <v>0.32300000000000001</v>
      </c>
      <c r="BB31" s="52">
        <v>0.25850000000000001</v>
      </c>
      <c r="BC31" s="51">
        <v>0.33050000000000002</v>
      </c>
      <c r="BD31" s="20" t="s">
        <v>38</v>
      </c>
      <c r="BE31" s="20" t="s">
        <v>38</v>
      </c>
      <c r="BF31" s="20" t="s">
        <v>38</v>
      </c>
      <c r="BG31" s="51">
        <v>0.38150000000000001</v>
      </c>
      <c r="BH31" s="38">
        <v>0.3</v>
      </c>
      <c r="BI31" s="38">
        <v>0.33200000000000002</v>
      </c>
      <c r="BJ31" s="38">
        <v>0.31900000000000001</v>
      </c>
      <c r="BK31" s="38">
        <v>0.3085</v>
      </c>
      <c r="BL31" s="38">
        <v>0.32150000000000001</v>
      </c>
      <c r="BM31" s="38">
        <v>0.35349999999999998</v>
      </c>
      <c r="BN31" s="55" t="s">
        <v>38</v>
      </c>
      <c r="BO31" s="51">
        <v>0.34</v>
      </c>
      <c r="BP31" s="38">
        <v>0.375</v>
      </c>
      <c r="BQ31" s="38">
        <v>0.3165</v>
      </c>
      <c r="BR31" s="56">
        <v>0.315</v>
      </c>
      <c r="BS31" s="56">
        <v>0.3135</v>
      </c>
      <c r="BT31" s="56">
        <v>0.31850000000000001</v>
      </c>
      <c r="BU31" s="42">
        <v>0.308</v>
      </c>
      <c r="BV31" s="56">
        <v>0.34699999999999998</v>
      </c>
      <c r="BW31" s="42">
        <v>0.34899999999999998</v>
      </c>
      <c r="BX31" s="42">
        <v>0.32450000000000001</v>
      </c>
      <c r="BY31" s="85">
        <f>(0.345+0.337)/2</f>
        <v>0.34099999999999997</v>
      </c>
      <c r="BZ31" s="85">
        <f>(0.331+0.327)/2</f>
        <v>0.32900000000000001</v>
      </c>
      <c r="CA31" s="87">
        <v>0.46949999999999997</v>
      </c>
    </row>
    <row r="32" spans="1:79">
      <c r="A32" s="29">
        <v>23</v>
      </c>
      <c r="B32" s="83">
        <v>254520.12336</v>
      </c>
      <c r="C32" s="83">
        <v>4505551.7588200001</v>
      </c>
      <c r="D32" s="20" t="s">
        <v>38</v>
      </c>
      <c r="E32" s="20" t="s">
        <v>38</v>
      </c>
      <c r="F32" s="20" t="s">
        <v>38</v>
      </c>
      <c r="G32" s="20" t="s">
        <v>38</v>
      </c>
      <c r="H32" s="20" t="s">
        <v>38</v>
      </c>
      <c r="I32" s="20" t="s">
        <v>38</v>
      </c>
      <c r="J32" s="20" t="s">
        <v>38</v>
      </c>
      <c r="K32" s="20" t="s">
        <v>38</v>
      </c>
      <c r="L32" s="20" t="s">
        <v>38</v>
      </c>
      <c r="M32" s="20" t="s">
        <v>38</v>
      </c>
      <c r="N32" s="20" t="s">
        <v>38</v>
      </c>
      <c r="O32" s="20" t="s">
        <v>38</v>
      </c>
      <c r="P32" s="20" t="s">
        <v>38</v>
      </c>
      <c r="Q32" s="20" t="s">
        <v>38</v>
      </c>
      <c r="R32" s="20" t="s">
        <v>38</v>
      </c>
      <c r="S32" s="20" t="s">
        <v>38</v>
      </c>
      <c r="T32" s="20" t="s">
        <v>38</v>
      </c>
      <c r="U32" s="20" t="s">
        <v>38</v>
      </c>
      <c r="V32" s="20" t="s">
        <v>38</v>
      </c>
      <c r="W32" s="20" t="s">
        <v>38</v>
      </c>
      <c r="X32" s="20" t="s">
        <v>38</v>
      </c>
      <c r="Y32" s="20" t="s">
        <v>38</v>
      </c>
      <c r="Z32" s="20" t="s">
        <v>38</v>
      </c>
      <c r="AA32" s="20" t="s">
        <v>38</v>
      </c>
      <c r="AB32" s="20" t="s">
        <v>38</v>
      </c>
      <c r="AC32" s="20" t="s">
        <v>38</v>
      </c>
      <c r="AD32" s="20" t="s">
        <v>38</v>
      </c>
      <c r="AE32" s="20" t="s">
        <v>38</v>
      </c>
      <c r="AF32" s="20" t="s">
        <v>38</v>
      </c>
      <c r="AG32" s="20" t="s">
        <v>38</v>
      </c>
      <c r="AH32" s="20" t="s">
        <v>38</v>
      </c>
      <c r="AI32" s="20" t="s">
        <v>38</v>
      </c>
      <c r="AJ32" s="20" t="s">
        <v>38</v>
      </c>
      <c r="AK32" s="20" t="s">
        <v>38</v>
      </c>
      <c r="AL32" s="20" t="s">
        <v>38</v>
      </c>
      <c r="AM32" s="20" t="s">
        <v>38</v>
      </c>
      <c r="AN32" s="20" t="s">
        <v>38</v>
      </c>
      <c r="AO32" s="20" t="s">
        <v>38</v>
      </c>
      <c r="AP32" s="20" t="s">
        <v>38</v>
      </c>
      <c r="AQ32" s="20" t="s">
        <v>38</v>
      </c>
      <c r="AR32" s="20" t="s">
        <v>38</v>
      </c>
      <c r="AS32" s="20" t="s">
        <v>38</v>
      </c>
      <c r="AT32" s="20" t="s">
        <v>38</v>
      </c>
      <c r="AU32" s="20" t="s">
        <v>38</v>
      </c>
      <c r="AV32" s="20" t="s">
        <v>38</v>
      </c>
      <c r="AW32" s="20" t="s">
        <v>38</v>
      </c>
      <c r="AX32" s="20" t="s">
        <v>38</v>
      </c>
      <c r="AY32" s="20" t="s">
        <v>38</v>
      </c>
      <c r="AZ32" s="20" t="s">
        <v>38</v>
      </c>
      <c r="BA32" s="20" t="s">
        <v>38</v>
      </c>
      <c r="BB32" s="20" t="s">
        <v>38</v>
      </c>
      <c r="BC32" s="20" t="s">
        <v>38</v>
      </c>
      <c r="BD32" s="20" t="s">
        <v>38</v>
      </c>
      <c r="BE32" s="20" t="s">
        <v>38</v>
      </c>
      <c r="BF32" s="20" t="s">
        <v>38</v>
      </c>
      <c r="BG32" s="20" t="s">
        <v>38</v>
      </c>
      <c r="BH32" s="20" t="s">
        <v>38</v>
      </c>
      <c r="BI32" s="20" t="s">
        <v>38</v>
      </c>
      <c r="BJ32" s="20" t="s">
        <v>38</v>
      </c>
      <c r="BK32" s="20" t="s">
        <v>38</v>
      </c>
      <c r="BL32" s="20" t="s">
        <v>38</v>
      </c>
      <c r="BM32" s="20" t="s">
        <v>38</v>
      </c>
      <c r="BN32" s="20" t="s">
        <v>38</v>
      </c>
      <c r="BO32" s="20" t="s">
        <v>38</v>
      </c>
      <c r="BP32" s="20" t="s">
        <v>38</v>
      </c>
      <c r="BQ32" s="20" t="s">
        <v>38</v>
      </c>
      <c r="BR32" s="20" t="s">
        <v>38</v>
      </c>
      <c r="BS32" s="20" t="s">
        <v>38</v>
      </c>
      <c r="BT32" s="20" t="s">
        <v>38</v>
      </c>
      <c r="BU32" s="20" t="s">
        <v>38</v>
      </c>
      <c r="BV32" s="20" t="s">
        <v>38</v>
      </c>
      <c r="BW32" s="20" t="s">
        <v>38</v>
      </c>
      <c r="BX32" s="20" t="s">
        <v>38</v>
      </c>
      <c r="BY32" s="61" t="s">
        <v>38</v>
      </c>
      <c r="BZ32" s="61" t="s">
        <v>38</v>
      </c>
      <c r="CA32" s="87" t="s">
        <v>38</v>
      </c>
    </row>
    <row r="33" spans="1:79">
      <c r="A33" s="29">
        <v>24</v>
      </c>
      <c r="B33" s="83">
        <v>254528.53983200001</v>
      </c>
      <c r="C33" s="83">
        <v>4505511.7527299998</v>
      </c>
      <c r="D33" s="20" t="s">
        <v>38</v>
      </c>
      <c r="E33" s="20" t="s">
        <v>38</v>
      </c>
      <c r="F33" s="20" t="s">
        <v>38</v>
      </c>
      <c r="G33" s="20" t="s">
        <v>38</v>
      </c>
      <c r="H33" s="20" t="s">
        <v>38</v>
      </c>
      <c r="I33" s="20" t="s">
        <v>38</v>
      </c>
      <c r="J33" s="20" t="s">
        <v>38</v>
      </c>
      <c r="K33" s="20" t="s">
        <v>38</v>
      </c>
      <c r="L33" s="20" t="s">
        <v>38</v>
      </c>
      <c r="M33" s="20" t="s">
        <v>38</v>
      </c>
      <c r="N33" s="20" t="s">
        <v>38</v>
      </c>
      <c r="O33" s="20" t="s">
        <v>38</v>
      </c>
      <c r="P33" s="20" t="s">
        <v>38</v>
      </c>
      <c r="Q33" s="20" t="s">
        <v>38</v>
      </c>
      <c r="R33" s="20" t="s">
        <v>38</v>
      </c>
      <c r="S33" s="20" t="s">
        <v>38</v>
      </c>
      <c r="T33" s="20" t="s">
        <v>38</v>
      </c>
      <c r="U33" s="20" t="s">
        <v>38</v>
      </c>
      <c r="V33" s="20" t="s">
        <v>38</v>
      </c>
      <c r="W33" s="20" t="s">
        <v>38</v>
      </c>
      <c r="X33" s="20" t="s">
        <v>38</v>
      </c>
      <c r="Y33" s="20" t="s">
        <v>38</v>
      </c>
      <c r="Z33" s="20" t="s">
        <v>38</v>
      </c>
      <c r="AA33" s="20" t="s">
        <v>38</v>
      </c>
      <c r="AB33" s="20" t="s">
        <v>38</v>
      </c>
      <c r="AC33" s="20" t="s">
        <v>38</v>
      </c>
      <c r="AD33" s="20" t="s">
        <v>38</v>
      </c>
      <c r="AE33" s="20" t="s">
        <v>38</v>
      </c>
      <c r="AF33" s="20" t="s">
        <v>38</v>
      </c>
      <c r="AG33" s="20" t="s">
        <v>38</v>
      </c>
      <c r="AH33" s="20" t="s">
        <v>38</v>
      </c>
      <c r="AI33" s="20" t="s">
        <v>38</v>
      </c>
      <c r="AJ33" s="20" t="s">
        <v>38</v>
      </c>
      <c r="AK33" s="20" t="s">
        <v>38</v>
      </c>
      <c r="AL33" s="20" t="s">
        <v>38</v>
      </c>
      <c r="AM33" s="20" t="s">
        <v>38</v>
      </c>
      <c r="AN33" s="20" t="s">
        <v>38</v>
      </c>
      <c r="AO33" s="20" t="s">
        <v>38</v>
      </c>
      <c r="AP33" s="20" t="s">
        <v>38</v>
      </c>
      <c r="AQ33" s="20" t="s">
        <v>38</v>
      </c>
      <c r="AR33" s="20" t="s">
        <v>38</v>
      </c>
      <c r="AS33" s="20" t="s">
        <v>38</v>
      </c>
      <c r="AT33" s="20" t="s">
        <v>38</v>
      </c>
      <c r="AU33" s="20" t="s">
        <v>38</v>
      </c>
      <c r="AV33" s="20" t="s">
        <v>38</v>
      </c>
      <c r="AW33" s="20" t="s">
        <v>38</v>
      </c>
      <c r="AX33" s="20" t="s">
        <v>38</v>
      </c>
      <c r="AY33" s="20" t="s">
        <v>38</v>
      </c>
      <c r="AZ33" s="20" t="s">
        <v>38</v>
      </c>
      <c r="BA33" s="20" t="s">
        <v>38</v>
      </c>
      <c r="BB33" s="20" t="s">
        <v>38</v>
      </c>
      <c r="BC33" s="20" t="s">
        <v>38</v>
      </c>
      <c r="BD33" s="20" t="s">
        <v>38</v>
      </c>
      <c r="BE33" s="20" t="s">
        <v>38</v>
      </c>
      <c r="BF33" s="20" t="s">
        <v>38</v>
      </c>
      <c r="BG33" s="20" t="s">
        <v>38</v>
      </c>
      <c r="BH33" s="20" t="s">
        <v>38</v>
      </c>
      <c r="BI33" s="20" t="s">
        <v>38</v>
      </c>
      <c r="BJ33" s="20" t="s">
        <v>38</v>
      </c>
      <c r="BK33" s="20" t="s">
        <v>38</v>
      </c>
      <c r="BL33" s="20" t="s">
        <v>38</v>
      </c>
      <c r="BM33" s="20" t="s">
        <v>38</v>
      </c>
      <c r="BN33" s="20" t="s">
        <v>38</v>
      </c>
      <c r="BO33" s="20" t="s">
        <v>38</v>
      </c>
      <c r="BP33" s="20" t="s">
        <v>38</v>
      </c>
      <c r="BQ33" s="20" t="s">
        <v>38</v>
      </c>
      <c r="BR33" s="20" t="s">
        <v>38</v>
      </c>
      <c r="BS33" s="20" t="s">
        <v>38</v>
      </c>
      <c r="BT33" s="20" t="s">
        <v>38</v>
      </c>
      <c r="BU33" s="20" t="s">
        <v>38</v>
      </c>
      <c r="BV33" s="20" t="s">
        <v>38</v>
      </c>
      <c r="BW33" s="20" t="s">
        <v>38</v>
      </c>
      <c r="BX33" s="20" t="s">
        <v>38</v>
      </c>
      <c r="BY33" s="61" t="s">
        <v>38</v>
      </c>
      <c r="BZ33" s="61" t="s">
        <v>38</v>
      </c>
      <c r="CA33" s="87" t="s">
        <v>38</v>
      </c>
    </row>
    <row r="34" spans="1:79">
      <c r="A34" s="29">
        <v>25</v>
      </c>
      <c r="B34" s="83">
        <v>254506.98052099999</v>
      </c>
      <c r="C34" s="83">
        <v>4505562.6568999998</v>
      </c>
      <c r="D34" s="20" t="s">
        <v>38</v>
      </c>
      <c r="E34" s="20" t="s">
        <v>38</v>
      </c>
      <c r="F34" s="20" t="s">
        <v>38</v>
      </c>
      <c r="G34" s="20" t="s">
        <v>38</v>
      </c>
      <c r="H34" s="20" t="s">
        <v>38</v>
      </c>
      <c r="I34" s="20" t="s">
        <v>38</v>
      </c>
      <c r="J34" s="20" t="s">
        <v>38</v>
      </c>
      <c r="K34" s="20" t="s">
        <v>38</v>
      </c>
      <c r="L34" s="20" t="s">
        <v>38</v>
      </c>
      <c r="M34" s="20" t="s">
        <v>38</v>
      </c>
      <c r="N34" s="20" t="s">
        <v>38</v>
      </c>
      <c r="O34" s="20" t="s">
        <v>38</v>
      </c>
      <c r="P34" s="20" t="s">
        <v>38</v>
      </c>
      <c r="Q34" s="20" t="s">
        <v>38</v>
      </c>
      <c r="R34" s="20" t="s">
        <v>38</v>
      </c>
      <c r="S34" s="20" t="s">
        <v>38</v>
      </c>
      <c r="T34" s="20" t="s">
        <v>38</v>
      </c>
      <c r="U34" s="20" t="s">
        <v>38</v>
      </c>
      <c r="V34" s="20" t="s">
        <v>38</v>
      </c>
      <c r="W34" s="20" t="s">
        <v>38</v>
      </c>
      <c r="X34" s="20" t="s">
        <v>38</v>
      </c>
      <c r="Y34" s="20" t="s">
        <v>38</v>
      </c>
      <c r="Z34" s="20" t="s">
        <v>38</v>
      </c>
      <c r="AA34" s="20" t="s">
        <v>38</v>
      </c>
      <c r="AB34" s="20" t="s">
        <v>38</v>
      </c>
      <c r="AC34" s="20" t="s">
        <v>38</v>
      </c>
      <c r="AD34" s="20" t="s">
        <v>38</v>
      </c>
      <c r="AE34" s="20" t="s">
        <v>38</v>
      </c>
      <c r="AF34" s="20" t="s">
        <v>38</v>
      </c>
      <c r="AG34" s="20" t="s">
        <v>38</v>
      </c>
      <c r="AH34" s="20" t="s">
        <v>38</v>
      </c>
      <c r="AI34" s="20" t="s">
        <v>38</v>
      </c>
      <c r="AJ34" s="20" t="s">
        <v>38</v>
      </c>
      <c r="AK34" s="20" t="s">
        <v>38</v>
      </c>
      <c r="AL34" s="20" t="s">
        <v>38</v>
      </c>
      <c r="AM34" s="20" t="s">
        <v>38</v>
      </c>
      <c r="AN34" s="20" t="s">
        <v>38</v>
      </c>
      <c r="AO34" s="20" t="s">
        <v>38</v>
      </c>
      <c r="AP34" s="20" t="s">
        <v>38</v>
      </c>
      <c r="AQ34" s="20" t="s">
        <v>38</v>
      </c>
      <c r="AR34" s="20" t="s">
        <v>38</v>
      </c>
      <c r="AS34" s="20" t="s">
        <v>38</v>
      </c>
      <c r="AT34" s="20" t="s">
        <v>38</v>
      </c>
      <c r="AU34" s="20" t="s">
        <v>38</v>
      </c>
      <c r="AV34" s="20" t="s">
        <v>38</v>
      </c>
      <c r="AW34" s="20" t="s">
        <v>38</v>
      </c>
      <c r="AX34" s="20" t="s">
        <v>38</v>
      </c>
      <c r="AY34" s="20" t="s">
        <v>38</v>
      </c>
      <c r="AZ34" s="20" t="s">
        <v>38</v>
      </c>
      <c r="BA34" s="20" t="s">
        <v>38</v>
      </c>
      <c r="BB34" s="20" t="s">
        <v>38</v>
      </c>
      <c r="BC34" s="20" t="s">
        <v>38</v>
      </c>
      <c r="BD34" s="20" t="s">
        <v>38</v>
      </c>
      <c r="BE34" s="20" t="s">
        <v>38</v>
      </c>
      <c r="BF34" s="20" t="s">
        <v>38</v>
      </c>
      <c r="BG34" s="20" t="s">
        <v>38</v>
      </c>
      <c r="BH34" s="20" t="s">
        <v>38</v>
      </c>
      <c r="BI34" s="20" t="s">
        <v>38</v>
      </c>
      <c r="BJ34" s="20" t="s">
        <v>38</v>
      </c>
      <c r="BK34" s="20" t="s">
        <v>38</v>
      </c>
      <c r="BL34" s="20" t="s">
        <v>38</v>
      </c>
      <c r="BM34" s="20" t="s">
        <v>38</v>
      </c>
      <c r="BN34" s="20" t="s">
        <v>38</v>
      </c>
      <c r="BO34" s="20" t="s">
        <v>38</v>
      </c>
      <c r="BP34" s="20" t="s">
        <v>38</v>
      </c>
      <c r="BQ34" s="20" t="s">
        <v>38</v>
      </c>
      <c r="BR34" s="20" t="s">
        <v>38</v>
      </c>
      <c r="BS34" s="20" t="s">
        <v>38</v>
      </c>
      <c r="BT34" s="20" t="s">
        <v>38</v>
      </c>
      <c r="BU34" s="20" t="s">
        <v>38</v>
      </c>
      <c r="BV34" s="20" t="s">
        <v>38</v>
      </c>
      <c r="BW34" s="20" t="s">
        <v>38</v>
      </c>
      <c r="BX34" s="20" t="s">
        <v>38</v>
      </c>
      <c r="BY34" s="61" t="s">
        <v>38</v>
      </c>
      <c r="BZ34" s="61" t="s">
        <v>38</v>
      </c>
      <c r="CA34" s="87" t="s">
        <v>38</v>
      </c>
    </row>
    <row r="35" spans="1:79">
      <c r="A35" s="29">
        <v>26</v>
      </c>
      <c r="B35" s="83">
        <v>254533.69367800001</v>
      </c>
      <c r="C35" s="83">
        <v>4505540.5411999999</v>
      </c>
      <c r="D35" s="20" t="s">
        <v>38</v>
      </c>
      <c r="E35" s="20" t="s">
        <v>38</v>
      </c>
      <c r="F35" s="20" t="s">
        <v>38</v>
      </c>
      <c r="G35" s="20" t="s">
        <v>38</v>
      </c>
      <c r="H35" s="20" t="s">
        <v>38</v>
      </c>
      <c r="I35" s="20" t="s">
        <v>38</v>
      </c>
      <c r="J35" s="20" t="s">
        <v>38</v>
      </c>
      <c r="K35" s="20" t="s">
        <v>38</v>
      </c>
      <c r="L35" s="20" t="s">
        <v>38</v>
      </c>
      <c r="M35" s="20" t="s">
        <v>38</v>
      </c>
      <c r="N35" s="20" t="s">
        <v>38</v>
      </c>
      <c r="O35" s="20" t="s">
        <v>38</v>
      </c>
      <c r="P35" s="20" t="s">
        <v>38</v>
      </c>
      <c r="Q35" s="20" t="s">
        <v>38</v>
      </c>
      <c r="R35" s="20" t="s">
        <v>38</v>
      </c>
      <c r="S35" s="20" t="s">
        <v>38</v>
      </c>
      <c r="T35" s="20" t="s">
        <v>38</v>
      </c>
      <c r="U35" s="20" t="s">
        <v>38</v>
      </c>
      <c r="V35" s="20" t="s">
        <v>38</v>
      </c>
      <c r="W35" s="20" t="s">
        <v>38</v>
      </c>
      <c r="X35" s="20" t="s">
        <v>38</v>
      </c>
      <c r="Y35" s="20" t="s">
        <v>38</v>
      </c>
      <c r="Z35" s="20" t="s">
        <v>38</v>
      </c>
      <c r="AA35" s="20" t="s">
        <v>38</v>
      </c>
      <c r="AB35" s="20" t="s">
        <v>38</v>
      </c>
      <c r="AC35" s="20" t="s">
        <v>38</v>
      </c>
      <c r="AD35" s="20" t="s">
        <v>38</v>
      </c>
      <c r="AE35" s="20" t="s">
        <v>38</v>
      </c>
      <c r="AF35" s="20" t="s">
        <v>38</v>
      </c>
      <c r="AG35" s="20" t="s">
        <v>38</v>
      </c>
      <c r="AH35" s="20" t="s">
        <v>38</v>
      </c>
      <c r="AI35" s="20" t="s">
        <v>38</v>
      </c>
      <c r="AJ35" s="20" t="s">
        <v>38</v>
      </c>
      <c r="AK35" s="20" t="s">
        <v>38</v>
      </c>
      <c r="AL35" s="20" t="s">
        <v>38</v>
      </c>
      <c r="AM35" s="20" t="s">
        <v>38</v>
      </c>
      <c r="AN35" s="20" t="s">
        <v>38</v>
      </c>
      <c r="AO35" s="20" t="s">
        <v>38</v>
      </c>
      <c r="AP35" s="20" t="s">
        <v>38</v>
      </c>
      <c r="AQ35" s="20" t="s">
        <v>38</v>
      </c>
      <c r="AR35" s="20" t="s">
        <v>38</v>
      </c>
      <c r="AS35" s="20" t="s">
        <v>38</v>
      </c>
      <c r="AT35" s="20" t="s">
        <v>38</v>
      </c>
      <c r="AU35" s="20" t="s">
        <v>38</v>
      </c>
      <c r="AV35" s="20" t="s">
        <v>38</v>
      </c>
      <c r="AW35" s="20" t="s">
        <v>38</v>
      </c>
      <c r="AX35" s="20" t="s">
        <v>38</v>
      </c>
      <c r="AY35" s="20" t="s">
        <v>38</v>
      </c>
      <c r="AZ35" s="20" t="s">
        <v>38</v>
      </c>
      <c r="BA35" s="20" t="s">
        <v>38</v>
      </c>
      <c r="BB35" s="20" t="s">
        <v>38</v>
      </c>
      <c r="BC35" s="20" t="s">
        <v>38</v>
      </c>
      <c r="BD35" s="20" t="s">
        <v>38</v>
      </c>
      <c r="BE35" s="20" t="s">
        <v>38</v>
      </c>
      <c r="BF35" s="20" t="s">
        <v>38</v>
      </c>
      <c r="BG35" s="20" t="s">
        <v>38</v>
      </c>
      <c r="BH35" s="20" t="s">
        <v>38</v>
      </c>
      <c r="BI35" s="20" t="s">
        <v>38</v>
      </c>
      <c r="BJ35" s="20" t="s">
        <v>38</v>
      </c>
      <c r="BK35" s="20" t="s">
        <v>38</v>
      </c>
      <c r="BL35" s="20" t="s">
        <v>38</v>
      </c>
      <c r="BM35" s="20" t="s">
        <v>38</v>
      </c>
      <c r="BN35" s="20" t="s">
        <v>38</v>
      </c>
      <c r="BO35" s="20" t="s">
        <v>38</v>
      </c>
      <c r="BP35" s="20" t="s">
        <v>38</v>
      </c>
      <c r="BQ35" s="20" t="s">
        <v>38</v>
      </c>
      <c r="BR35" s="20" t="s">
        <v>38</v>
      </c>
      <c r="BS35" s="20" t="s">
        <v>38</v>
      </c>
      <c r="BT35" s="20" t="s">
        <v>38</v>
      </c>
      <c r="BU35" s="20" t="s">
        <v>38</v>
      </c>
      <c r="BV35" s="20" t="s">
        <v>38</v>
      </c>
      <c r="BW35" s="20" t="s">
        <v>38</v>
      </c>
      <c r="BX35" s="20" t="s">
        <v>38</v>
      </c>
      <c r="BY35" s="61" t="s">
        <v>38</v>
      </c>
      <c r="BZ35" s="61" t="s">
        <v>38</v>
      </c>
      <c r="CA35" s="87" t="s">
        <v>38</v>
      </c>
    </row>
    <row r="36" spans="1:79">
      <c r="A36" s="29">
        <v>27</v>
      </c>
      <c r="B36" s="82">
        <v>254513.240017</v>
      </c>
      <c r="C36" s="82">
        <v>4505597.2084600003</v>
      </c>
      <c r="D36" s="20" t="s">
        <v>38</v>
      </c>
      <c r="E36" s="20">
        <v>0.35549999999999998</v>
      </c>
      <c r="F36" s="20">
        <v>0.377</v>
      </c>
      <c r="G36" s="20">
        <v>0.376</v>
      </c>
      <c r="H36" s="20">
        <v>0.40149999999999997</v>
      </c>
      <c r="I36" s="20">
        <v>0.33450000000000002</v>
      </c>
      <c r="J36" s="20">
        <v>0.32050000000000001</v>
      </c>
      <c r="K36" s="20">
        <v>0.30299999999999999</v>
      </c>
      <c r="L36" s="20">
        <v>0.34250000000000003</v>
      </c>
      <c r="M36" s="20">
        <v>0.33500000000000002</v>
      </c>
      <c r="N36" s="16">
        <v>0.32650000000000001</v>
      </c>
      <c r="O36" s="16">
        <v>0.3075</v>
      </c>
      <c r="P36" s="16">
        <v>0.29349999999999998</v>
      </c>
      <c r="Q36" s="16">
        <v>0.314</v>
      </c>
      <c r="R36" s="16">
        <v>0.36849999999999999</v>
      </c>
      <c r="S36" s="16">
        <v>0.35699999999999998</v>
      </c>
      <c r="T36" s="16">
        <v>0.51900000000000002</v>
      </c>
      <c r="U36" s="16">
        <v>0.53100000000000003</v>
      </c>
      <c r="V36" s="16">
        <v>0.58799999999999997</v>
      </c>
      <c r="W36" s="16">
        <v>0.61599999999999999</v>
      </c>
      <c r="X36" s="19">
        <v>0.65600000000000003</v>
      </c>
      <c r="Y36" s="7">
        <v>0.70399999999999996</v>
      </c>
      <c r="Z36" s="19">
        <v>0.66500000000000004</v>
      </c>
      <c r="AA36" s="19">
        <v>0.68600000000000005</v>
      </c>
      <c r="AB36" s="19">
        <v>0.66600000000000004</v>
      </c>
      <c r="AC36" s="7">
        <v>0.60299999999999998</v>
      </c>
      <c r="AD36" s="24">
        <v>0.68400000000000005</v>
      </c>
      <c r="AE36" s="24">
        <v>0.38</v>
      </c>
      <c r="AF36" s="24">
        <v>0.443</v>
      </c>
      <c r="AG36" s="24">
        <v>0.45500000000000002</v>
      </c>
      <c r="AH36" s="24">
        <v>0.316</v>
      </c>
      <c r="AI36" s="24">
        <v>0.31</v>
      </c>
      <c r="AJ36" s="24">
        <v>0.44400000000000001</v>
      </c>
      <c r="AK36" s="24">
        <v>0.33700000000000002</v>
      </c>
      <c r="AL36" s="24">
        <v>0.55100000000000005</v>
      </c>
      <c r="AM36" s="24">
        <v>0.69299999999999995</v>
      </c>
      <c r="AN36" s="51">
        <v>0.38800000000000001</v>
      </c>
      <c r="AO36" s="51">
        <v>0.29799999999999999</v>
      </c>
      <c r="AP36" s="51">
        <v>0.34799999999999998</v>
      </c>
      <c r="AQ36" s="51">
        <v>0.47899999999999998</v>
      </c>
      <c r="AR36" s="51">
        <v>0.42899999999999999</v>
      </c>
      <c r="AS36" s="51">
        <v>0.441</v>
      </c>
      <c r="AT36" s="51">
        <v>0.40300000000000002</v>
      </c>
      <c r="AU36" s="51">
        <v>0.40200000000000002</v>
      </c>
      <c r="AV36" s="51">
        <v>0.41699999999999998</v>
      </c>
      <c r="AW36" s="51">
        <v>0.36399999999999999</v>
      </c>
      <c r="AX36" s="51">
        <v>0.30099999999999999</v>
      </c>
      <c r="AY36" s="51">
        <v>0.38400000000000001</v>
      </c>
      <c r="AZ36" s="51">
        <v>0.36899999999999999</v>
      </c>
      <c r="BA36" s="51">
        <v>0.314</v>
      </c>
      <c r="BB36" s="52">
        <v>0.27</v>
      </c>
      <c r="BC36" s="20" t="s">
        <v>38</v>
      </c>
      <c r="BD36" s="20" t="s">
        <v>38</v>
      </c>
      <c r="BE36" s="20" t="s">
        <v>38</v>
      </c>
      <c r="BF36" s="20" t="s">
        <v>38</v>
      </c>
      <c r="BG36" s="51">
        <v>0.432</v>
      </c>
      <c r="BH36" s="38">
        <v>0.32400000000000001</v>
      </c>
      <c r="BI36" s="38">
        <v>0.371</v>
      </c>
      <c r="BJ36" s="38">
        <v>0.35599999999999998</v>
      </c>
      <c r="BK36" s="38">
        <v>0.33950000000000002</v>
      </c>
      <c r="BL36" s="38">
        <v>0.35249999999999998</v>
      </c>
      <c r="BM36" s="38">
        <v>0.38750000000000001</v>
      </c>
      <c r="BN36" s="20" t="s">
        <v>38</v>
      </c>
      <c r="BO36" s="51">
        <v>0.36849999999999999</v>
      </c>
      <c r="BP36" s="38">
        <v>0.41</v>
      </c>
      <c r="BQ36" s="38">
        <v>0.33300000000000002</v>
      </c>
      <c r="BR36" s="56">
        <v>0.35849999999999999</v>
      </c>
      <c r="BS36" s="56">
        <v>0.33650000000000002</v>
      </c>
      <c r="BT36" s="56">
        <v>0.33750000000000002</v>
      </c>
      <c r="BU36" s="42">
        <v>0.36249999999999999</v>
      </c>
      <c r="BV36" s="56">
        <v>0.3795</v>
      </c>
      <c r="BW36" s="42">
        <v>0.39700000000000002</v>
      </c>
      <c r="BX36" s="42">
        <v>0.38200000000000001</v>
      </c>
      <c r="BY36" s="85">
        <f>(0.427+0.41)/2</f>
        <v>0.41849999999999998</v>
      </c>
      <c r="BZ36" s="85">
        <f>(0.353+0.361)/2</f>
        <v>0.35699999999999998</v>
      </c>
      <c r="CA36" s="87">
        <v>0.49149999999999999</v>
      </c>
    </row>
    <row r="37" spans="1:79">
      <c r="A37" s="29">
        <v>28</v>
      </c>
      <c r="B37" s="82">
        <v>254529.46167600001</v>
      </c>
      <c r="C37" s="82">
        <v>4505586.2259</v>
      </c>
      <c r="D37" s="20" t="s">
        <v>38</v>
      </c>
      <c r="E37" s="20">
        <v>0.28949999999999998</v>
      </c>
      <c r="F37" s="20">
        <v>0.3125</v>
      </c>
      <c r="G37" s="20">
        <v>0.30449999999999999</v>
      </c>
      <c r="H37" s="20">
        <v>0.30049999999999999</v>
      </c>
      <c r="I37" s="20">
        <v>0.25</v>
      </c>
      <c r="J37" s="20">
        <v>0.24299999999999999</v>
      </c>
      <c r="K37" s="20">
        <v>0.20699999999999999</v>
      </c>
      <c r="L37" s="20">
        <v>0.23350000000000001</v>
      </c>
      <c r="M37" s="20">
        <v>0.19750000000000001</v>
      </c>
      <c r="N37" s="16">
        <v>0.219</v>
      </c>
      <c r="O37" s="16">
        <v>0.19450000000000001</v>
      </c>
      <c r="P37" s="16">
        <v>0.1885</v>
      </c>
      <c r="Q37" s="16">
        <v>0.20799999999999999</v>
      </c>
      <c r="R37" s="20" t="s">
        <v>38</v>
      </c>
      <c r="S37" s="16">
        <v>0.22550000000000001</v>
      </c>
      <c r="T37" s="16">
        <v>0.33800000000000002</v>
      </c>
      <c r="U37" s="16">
        <v>0.35099999999999998</v>
      </c>
      <c r="V37" s="16">
        <v>0.32400000000000001</v>
      </c>
      <c r="W37" s="16">
        <v>0.39</v>
      </c>
      <c r="X37" s="19">
        <v>0.34200000000000003</v>
      </c>
      <c r="Y37" s="7">
        <v>0.35499999999999998</v>
      </c>
      <c r="Z37" s="19">
        <v>0.32900000000000001</v>
      </c>
      <c r="AA37" s="19">
        <v>0.34799999999999998</v>
      </c>
      <c r="AB37" s="19">
        <v>0.34499999999999997</v>
      </c>
      <c r="AC37" s="7">
        <v>0.33500000000000002</v>
      </c>
      <c r="AD37" s="24">
        <v>0.38200000000000001</v>
      </c>
      <c r="AE37" s="24">
        <v>0.36</v>
      </c>
      <c r="AF37" s="24">
        <v>0.28100000000000003</v>
      </c>
      <c r="AG37" s="24">
        <v>0.27900000000000003</v>
      </c>
      <c r="AH37" s="24">
        <v>0.252</v>
      </c>
      <c r="AI37" s="24">
        <v>0.255</v>
      </c>
      <c r="AJ37" s="24">
        <v>0.26200000000000001</v>
      </c>
      <c r="AK37" s="24">
        <v>0.23899999999999999</v>
      </c>
      <c r="AL37" s="24">
        <v>0.35599999999999998</v>
      </c>
      <c r="AM37" s="24">
        <v>0.36199999999999999</v>
      </c>
      <c r="AN37" s="51">
        <v>0.29099999999999998</v>
      </c>
      <c r="AO37" s="51">
        <v>0.23100000000000001</v>
      </c>
      <c r="AP37" s="51">
        <v>0.25600000000000001</v>
      </c>
      <c r="AQ37" s="51">
        <v>0.29899999999999999</v>
      </c>
      <c r="AR37" s="51">
        <v>0.25900000000000001</v>
      </c>
      <c r="AS37" s="51">
        <v>0.27400000000000002</v>
      </c>
      <c r="AT37" s="51">
        <v>0.25600000000000001</v>
      </c>
      <c r="AU37" s="51">
        <v>0.254</v>
      </c>
      <c r="AV37" s="51">
        <v>0.252</v>
      </c>
      <c r="AW37" s="51">
        <v>0.20599999999999999</v>
      </c>
      <c r="AX37" s="51">
        <v>0.218</v>
      </c>
      <c r="AY37" s="51">
        <v>0.27700000000000002</v>
      </c>
      <c r="AZ37" s="51">
        <v>0.248</v>
      </c>
      <c r="BA37" s="51">
        <v>0.246</v>
      </c>
      <c r="BB37" s="52">
        <v>0.1855</v>
      </c>
      <c r="BC37" s="51">
        <v>0.247</v>
      </c>
      <c r="BD37" s="20" t="s">
        <v>38</v>
      </c>
      <c r="BE37" s="20" t="s">
        <v>38</v>
      </c>
      <c r="BF37" s="20" t="s">
        <v>38</v>
      </c>
      <c r="BG37" s="51">
        <v>0.30049999999999999</v>
      </c>
      <c r="BH37" s="38">
        <v>0.27500000000000002</v>
      </c>
      <c r="BI37" s="38">
        <v>0.307</v>
      </c>
      <c r="BJ37" s="38">
        <v>0.30199999999999999</v>
      </c>
      <c r="BK37" s="38">
        <v>0.28599999999999998</v>
      </c>
      <c r="BL37" s="38">
        <v>0.28100000000000003</v>
      </c>
      <c r="BM37" s="38">
        <v>0.3095</v>
      </c>
      <c r="BN37" s="20" t="s">
        <v>38</v>
      </c>
      <c r="BO37" s="51">
        <v>0.30049999999999999</v>
      </c>
      <c r="BP37" s="38">
        <v>0.28600000000000003</v>
      </c>
      <c r="BQ37" s="38">
        <v>0.24249999999999999</v>
      </c>
      <c r="BR37" s="56">
        <v>0.24299999999999999</v>
      </c>
      <c r="BS37" s="56">
        <v>0.23549999999999999</v>
      </c>
      <c r="BT37" s="56">
        <v>0.24049999999999999</v>
      </c>
      <c r="BU37" s="42">
        <v>0.22950000000000001</v>
      </c>
      <c r="BV37" s="56">
        <v>0.2545</v>
      </c>
      <c r="BW37" s="42">
        <v>0.24249999999999999</v>
      </c>
      <c r="BX37" s="42">
        <v>0.26300000000000001</v>
      </c>
      <c r="BY37" s="85">
        <f>(0.312+0.32)/2</f>
        <v>0.316</v>
      </c>
      <c r="BZ37" s="85">
        <v>0.312</v>
      </c>
      <c r="CA37" s="87">
        <v>0.41849999999999998</v>
      </c>
    </row>
    <row r="38" spans="1:79">
      <c r="A38" s="29">
        <v>29</v>
      </c>
      <c r="B38" s="82">
        <v>254562.056644</v>
      </c>
      <c r="C38" s="82">
        <v>4505556.1068799999</v>
      </c>
      <c r="D38" s="17">
        <v>0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 t="s">
        <v>38</v>
      </c>
      <c r="O38" s="17" t="s">
        <v>38</v>
      </c>
      <c r="P38" s="17" t="s">
        <v>38</v>
      </c>
      <c r="Q38" s="17" t="s">
        <v>38</v>
      </c>
      <c r="R38" s="17" t="s">
        <v>38</v>
      </c>
      <c r="S38" s="17" t="s">
        <v>38</v>
      </c>
      <c r="T38" s="17" t="s">
        <v>38</v>
      </c>
      <c r="U38" s="17" t="s">
        <v>38</v>
      </c>
      <c r="V38" s="17" t="s">
        <v>38</v>
      </c>
      <c r="W38" s="17" t="s">
        <v>38</v>
      </c>
      <c r="X38" s="17" t="s">
        <v>38</v>
      </c>
      <c r="Y38" s="17" t="s">
        <v>38</v>
      </c>
      <c r="Z38" s="17" t="s">
        <v>38</v>
      </c>
      <c r="AA38" s="17" t="s">
        <v>38</v>
      </c>
      <c r="AB38" s="17" t="s">
        <v>38</v>
      </c>
      <c r="AC38" s="17" t="s">
        <v>38</v>
      </c>
      <c r="AD38" s="17" t="s">
        <v>38</v>
      </c>
      <c r="AE38" s="17" t="s">
        <v>38</v>
      </c>
      <c r="AF38" s="17" t="s">
        <v>38</v>
      </c>
      <c r="AG38" s="17" t="s">
        <v>38</v>
      </c>
      <c r="AH38" s="17" t="s">
        <v>38</v>
      </c>
      <c r="AI38" s="17" t="s">
        <v>38</v>
      </c>
      <c r="AJ38" s="17" t="s">
        <v>38</v>
      </c>
      <c r="AK38" s="17" t="s">
        <v>38</v>
      </c>
      <c r="AL38" s="17" t="s">
        <v>38</v>
      </c>
      <c r="AM38" s="17" t="s">
        <v>38</v>
      </c>
      <c r="AN38" s="17" t="s">
        <v>38</v>
      </c>
      <c r="AO38" s="17" t="s">
        <v>38</v>
      </c>
      <c r="AP38" s="17" t="s">
        <v>38</v>
      </c>
      <c r="AQ38" s="17" t="s">
        <v>38</v>
      </c>
      <c r="AR38" s="17" t="s">
        <v>38</v>
      </c>
      <c r="AS38" s="17" t="s">
        <v>38</v>
      </c>
      <c r="AT38" s="17" t="s">
        <v>38</v>
      </c>
      <c r="AU38" s="17" t="s">
        <v>38</v>
      </c>
      <c r="AV38" s="17" t="s">
        <v>38</v>
      </c>
      <c r="AW38" s="17" t="s">
        <v>38</v>
      </c>
      <c r="AX38" s="17" t="s">
        <v>38</v>
      </c>
      <c r="AY38" s="17" t="s">
        <v>38</v>
      </c>
      <c r="AZ38" s="17" t="s">
        <v>38</v>
      </c>
      <c r="BA38" s="17" t="s">
        <v>38</v>
      </c>
      <c r="BB38" s="17" t="s">
        <v>38</v>
      </c>
      <c r="BC38" s="17" t="s">
        <v>38</v>
      </c>
      <c r="BD38" s="20" t="s">
        <v>38</v>
      </c>
      <c r="BE38" s="20" t="s">
        <v>38</v>
      </c>
      <c r="BF38" s="20" t="s">
        <v>38</v>
      </c>
      <c r="BG38" s="20" t="s">
        <v>38</v>
      </c>
      <c r="BH38" s="20" t="s">
        <v>38</v>
      </c>
      <c r="BI38" s="20" t="s">
        <v>38</v>
      </c>
      <c r="BJ38" s="20" t="s">
        <v>38</v>
      </c>
      <c r="BK38" s="20" t="s">
        <v>38</v>
      </c>
      <c r="BL38" s="20" t="s">
        <v>38</v>
      </c>
      <c r="BM38" s="20" t="s">
        <v>38</v>
      </c>
      <c r="BN38" s="20" t="s">
        <v>38</v>
      </c>
      <c r="BO38" s="20" t="s">
        <v>38</v>
      </c>
      <c r="BP38" s="20" t="s">
        <v>38</v>
      </c>
      <c r="BQ38" s="20" t="s">
        <v>38</v>
      </c>
      <c r="BR38" s="20" t="s">
        <v>38</v>
      </c>
      <c r="BS38" s="20" t="s">
        <v>38</v>
      </c>
      <c r="BT38" s="20" t="s">
        <v>38</v>
      </c>
      <c r="BU38" s="20" t="s">
        <v>38</v>
      </c>
      <c r="BV38" s="20" t="s">
        <v>38</v>
      </c>
      <c r="BW38" s="20" t="s">
        <v>38</v>
      </c>
      <c r="BX38" s="20" t="s">
        <v>38</v>
      </c>
      <c r="BY38" s="85" t="s">
        <v>38</v>
      </c>
      <c r="BZ38" s="85" t="s">
        <v>38</v>
      </c>
      <c r="CA38" s="86" t="s">
        <v>38</v>
      </c>
    </row>
    <row r="39" spans="1:79">
      <c r="A39" s="29">
        <v>30</v>
      </c>
      <c r="B39" s="82">
        <v>254600.96687999999</v>
      </c>
      <c r="C39" s="82">
        <v>4505520.1160399998</v>
      </c>
      <c r="D39" s="20" t="s">
        <v>38</v>
      </c>
      <c r="E39" s="20" t="s">
        <v>38</v>
      </c>
      <c r="F39" s="20" t="s">
        <v>38</v>
      </c>
      <c r="G39" s="20" t="s">
        <v>38</v>
      </c>
      <c r="H39" s="20" t="s">
        <v>38</v>
      </c>
      <c r="I39" s="20" t="s">
        <v>38</v>
      </c>
      <c r="J39" s="20" t="s">
        <v>38</v>
      </c>
      <c r="K39" s="20" t="s">
        <v>38</v>
      </c>
      <c r="L39" s="20" t="s">
        <v>38</v>
      </c>
      <c r="M39" s="20" t="s">
        <v>38</v>
      </c>
      <c r="N39" s="20" t="s">
        <v>38</v>
      </c>
      <c r="O39" s="20" t="s">
        <v>38</v>
      </c>
      <c r="P39" s="20" t="s">
        <v>38</v>
      </c>
      <c r="Q39" s="20" t="s">
        <v>38</v>
      </c>
      <c r="R39" s="20" t="s">
        <v>38</v>
      </c>
      <c r="S39" s="20" t="s">
        <v>38</v>
      </c>
      <c r="T39" s="20" t="s">
        <v>38</v>
      </c>
      <c r="U39" s="20" t="s">
        <v>38</v>
      </c>
      <c r="V39" s="20" t="s">
        <v>38</v>
      </c>
      <c r="W39" s="20" t="s">
        <v>38</v>
      </c>
      <c r="X39" s="20" t="s">
        <v>38</v>
      </c>
      <c r="Y39" s="20" t="s">
        <v>38</v>
      </c>
      <c r="Z39" s="20" t="s">
        <v>38</v>
      </c>
      <c r="AA39" s="20" t="s">
        <v>38</v>
      </c>
      <c r="AB39" s="20" t="s">
        <v>38</v>
      </c>
      <c r="AC39" s="20" t="s">
        <v>38</v>
      </c>
      <c r="AD39" s="20" t="s">
        <v>38</v>
      </c>
      <c r="AE39" s="20" t="s">
        <v>38</v>
      </c>
      <c r="AF39" s="20" t="s">
        <v>38</v>
      </c>
      <c r="AG39" s="20" t="s">
        <v>38</v>
      </c>
      <c r="AH39" s="20" t="s">
        <v>38</v>
      </c>
      <c r="AI39" s="20" t="s">
        <v>38</v>
      </c>
      <c r="AJ39" s="20" t="s">
        <v>38</v>
      </c>
      <c r="AK39" s="20" t="s">
        <v>38</v>
      </c>
      <c r="AL39" s="20" t="s">
        <v>38</v>
      </c>
      <c r="AM39" s="20" t="s">
        <v>38</v>
      </c>
      <c r="AN39" s="20" t="s">
        <v>38</v>
      </c>
      <c r="AO39" s="20" t="s">
        <v>38</v>
      </c>
      <c r="AP39" s="20" t="s">
        <v>38</v>
      </c>
      <c r="AQ39" s="20" t="s">
        <v>38</v>
      </c>
      <c r="AR39" s="20" t="s">
        <v>38</v>
      </c>
      <c r="AS39" s="20" t="s">
        <v>38</v>
      </c>
      <c r="AT39" s="20" t="s">
        <v>38</v>
      </c>
      <c r="AU39" s="20" t="s">
        <v>38</v>
      </c>
      <c r="AV39" s="20" t="s">
        <v>38</v>
      </c>
      <c r="AW39" s="20" t="s">
        <v>38</v>
      </c>
      <c r="AX39" s="20" t="s">
        <v>38</v>
      </c>
      <c r="AY39" s="20" t="s">
        <v>38</v>
      </c>
      <c r="AZ39" s="20" t="s">
        <v>38</v>
      </c>
      <c r="BA39" s="20" t="s">
        <v>38</v>
      </c>
      <c r="BB39" s="20" t="s">
        <v>38</v>
      </c>
      <c r="BC39" s="20" t="s">
        <v>38</v>
      </c>
      <c r="BD39" s="20" t="s">
        <v>38</v>
      </c>
      <c r="BE39" s="20" t="s">
        <v>38</v>
      </c>
      <c r="BF39" s="20" t="s">
        <v>38</v>
      </c>
      <c r="BG39" s="20" t="s">
        <v>38</v>
      </c>
      <c r="BH39" s="20" t="s">
        <v>38</v>
      </c>
      <c r="BI39" s="20" t="s">
        <v>38</v>
      </c>
      <c r="BJ39" s="20" t="s">
        <v>38</v>
      </c>
      <c r="BK39" s="20" t="s">
        <v>38</v>
      </c>
      <c r="BL39" s="20" t="s">
        <v>38</v>
      </c>
      <c r="BM39" s="20" t="s">
        <v>38</v>
      </c>
      <c r="BN39" s="20" t="s">
        <v>38</v>
      </c>
      <c r="BO39" s="20" t="s">
        <v>38</v>
      </c>
      <c r="BP39" s="20" t="s">
        <v>38</v>
      </c>
      <c r="BQ39" s="20" t="s">
        <v>38</v>
      </c>
      <c r="BR39" s="20" t="s">
        <v>38</v>
      </c>
      <c r="BS39" s="20" t="s">
        <v>38</v>
      </c>
      <c r="BT39" s="20" t="s">
        <v>38</v>
      </c>
      <c r="BU39" s="20" t="s">
        <v>38</v>
      </c>
      <c r="BV39" s="20" t="s">
        <v>38</v>
      </c>
      <c r="BW39" s="20" t="s">
        <v>38</v>
      </c>
      <c r="BX39" s="20" t="s">
        <v>38</v>
      </c>
      <c r="BY39" s="61" t="s">
        <v>38</v>
      </c>
      <c r="BZ39" s="61" t="s">
        <v>38</v>
      </c>
      <c r="CA39" s="87" t="s">
        <v>38</v>
      </c>
    </row>
    <row r="40" spans="1:79">
      <c r="A40" s="29">
        <v>31</v>
      </c>
      <c r="B40" s="82">
        <v>254602.038967</v>
      </c>
      <c r="C40" s="82">
        <v>4505614.9486699998</v>
      </c>
      <c r="D40" s="20" t="s">
        <v>38</v>
      </c>
      <c r="E40" s="20">
        <v>9.4E-2</v>
      </c>
      <c r="F40" s="20">
        <v>9.6000000000000002E-2</v>
      </c>
      <c r="G40" s="20">
        <v>0.1085</v>
      </c>
      <c r="H40" s="20">
        <v>0.105</v>
      </c>
      <c r="I40" s="20">
        <v>8.6499999999999994E-2</v>
      </c>
      <c r="J40" s="20">
        <v>8.9499999999999996E-2</v>
      </c>
      <c r="K40" s="20">
        <v>6.7500000000000004E-2</v>
      </c>
      <c r="L40" s="20">
        <v>7.6500000000000012E-2</v>
      </c>
      <c r="M40" s="20">
        <v>0.04</v>
      </c>
      <c r="N40" s="16">
        <v>6.0999999999999999E-2</v>
      </c>
      <c r="O40" s="16">
        <v>6.25E-2</v>
      </c>
      <c r="P40" s="16">
        <v>0.08</v>
      </c>
      <c r="Q40" s="16">
        <v>0.11899999999999999</v>
      </c>
      <c r="R40" s="16">
        <v>0.08</v>
      </c>
      <c r="S40" s="16">
        <v>0.10200000000000001</v>
      </c>
      <c r="T40" s="16">
        <v>9.5000000000000001E-2</v>
      </c>
      <c r="U40" s="16">
        <v>0.106</v>
      </c>
      <c r="V40" s="16">
        <v>0.1</v>
      </c>
      <c r="W40" s="16">
        <v>9.8000000000000004E-2</v>
      </c>
      <c r="X40" s="19">
        <v>9.8000000000000004E-2</v>
      </c>
      <c r="Y40" s="7">
        <v>9.2999999999999999E-2</v>
      </c>
      <c r="Z40" s="19">
        <v>0.1</v>
      </c>
      <c r="AA40" s="19">
        <v>8.7999999999999995E-2</v>
      </c>
      <c r="AB40" s="19">
        <v>0.106</v>
      </c>
      <c r="AC40" s="7">
        <v>9.7000000000000003E-2</v>
      </c>
      <c r="AD40" s="24">
        <v>0.114</v>
      </c>
      <c r="AE40" s="24">
        <v>0.129</v>
      </c>
      <c r="AF40" s="24">
        <v>0.11</v>
      </c>
      <c r="AG40" s="24">
        <v>0.14199999999999999</v>
      </c>
      <c r="AH40" s="24">
        <v>0.104</v>
      </c>
      <c r="AI40" s="24">
        <v>8.8999999999999996E-2</v>
      </c>
      <c r="AJ40" s="24">
        <v>8.7999999999999995E-2</v>
      </c>
      <c r="AK40" s="24">
        <v>6.7000000000000004E-2</v>
      </c>
      <c r="AL40" s="24">
        <v>9.6000000000000002E-2</v>
      </c>
      <c r="AM40" s="24">
        <v>9.0999999999999998E-2</v>
      </c>
      <c r="AN40" s="51">
        <v>9.7000000000000003E-2</v>
      </c>
      <c r="AO40" s="51">
        <v>5.6000000000000001E-2</v>
      </c>
      <c r="AP40" s="51">
        <v>8.6999999999999994E-2</v>
      </c>
      <c r="AQ40" s="51">
        <v>9.6000000000000002E-2</v>
      </c>
      <c r="AR40" s="51">
        <v>7.3999999999999996E-2</v>
      </c>
      <c r="AS40" s="51">
        <v>9.2999999999999999E-2</v>
      </c>
      <c r="AT40" s="51">
        <v>0.504</v>
      </c>
      <c r="AU40" s="51">
        <v>7.9000000000000001E-2</v>
      </c>
      <c r="AV40" s="51">
        <v>9.6000000000000002E-2</v>
      </c>
      <c r="AW40" s="51">
        <v>8.2000000000000003E-2</v>
      </c>
      <c r="AX40" s="51">
        <v>0.09</v>
      </c>
      <c r="AY40" s="51">
        <v>8.8999999999999996E-2</v>
      </c>
      <c r="AZ40" s="51">
        <v>9.5000000000000001E-2</v>
      </c>
      <c r="BA40" s="51">
        <v>8.2000000000000003E-2</v>
      </c>
      <c r="BB40" s="52">
        <v>3.6500000000000005E-2</v>
      </c>
      <c r="BC40" s="51">
        <v>0.106</v>
      </c>
      <c r="BD40" s="20" t="s">
        <v>38</v>
      </c>
      <c r="BE40" s="20" t="s">
        <v>38</v>
      </c>
      <c r="BF40" s="20" t="s">
        <v>38</v>
      </c>
      <c r="BG40" s="51">
        <v>0.122</v>
      </c>
      <c r="BH40" s="38">
        <v>9.0999999999999998E-2</v>
      </c>
      <c r="BI40" s="38">
        <v>9.8000000000000004E-2</v>
      </c>
      <c r="BJ40" s="38">
        <v>0.115</v>
      </c>
      <c r="BK40" s="38">
        <v>0.104</v>
      </c>
      <c r="BL40" s="38">
        <v>0.10200000000000001</v>
      </c>
      <c r="BM40" s="38">
        <v>9.8000000000000004E-2</v>
      </c>
      <c r="BN40" s="20" t="s">
        <v>38</v>
      </c>
      <c r="BO40" s="51">
        <v>0.10349999999999999</v>
      </c>
      <c r="BP40" s="38">
        <v>9.2499999999999999E-2</v>
      </c>
      <c r="BQ40" s="38">
        <v>0.14249999999999999</v>
      </c>
      <c r="BR40" s="56">
        <v>8.5999999999999993E-2</v>
      </c>
      <c r="BS40" s="56">
        <v>9.2499999999999999E-2</v>
      </c>
      <c r="BT40" s="56">
        <v>8.5999999999999993E-2</v>
      </c>
      <c r="BU40" s="42">
        <v>8.0500000000000002E-2</v>
      </c>
      <c r="BV40" s="56">
        <v>0.114</v>
      </c>
      <c r="BW40" s="42">
        <v>0.1095</v>
      </c>
      <c r="BX40" s="42">
        <v>8.5999999999999993E-2</v>
      </c>
      <c r="BY40" s="61" t="s">
        <v>38</v>
      </c>
      <c r="BZ40" s="61" t="s">
        <v>38</v>
      </c>
      <c r="CA40" s="87" t="s">
        <v>38</v>
      </c>
    </row>
    <row r="41" spans="1:79">
      <c r="A41" s="29">
        <v>32</v>
      </c>
      <c r="B41" s="82">
        <v>254615.14761499999</v>
      </c>
      <c r="C41" s="82">
        <v>4505653.1930400003</v>
      </c>
      <c r="D41" s="20">
        <v>0.3085</v>
      </c>
      <c r="E41" s="20">
        <v>0.34449999999999997</v>
      </c>
      <c r="F41" s="20">
        <v>0.35249999999999998</v>
      </c>
      <c r="G41" s="20">
        <v>0.34849999999999998</v>
      </c>
      <c r="H41" s="20">
        <v>0.35650000000000004</v>
      </c>
      <c r="I41" s="20">
        <v>0.33500000000000002</v>
      </c>
      <c r="J41" s="20">
        <v>0.27849999999999997</v>
      </c>
      <c r="K41" s="20">
        <v>0.27100000000000002</v>
      </c>
      <c r="L41" s="20">
        <v>0.23</v>
      </c>
      <c r="M41" s="20">
        <v>0.2185</v>
      </c>
      <c r="N41" s="16">
        <v>0.20300000000000001</v>
      </c>
      <c r="O41" s="16">
        <v>0.2155</v>
      </c>
      <c r="P41" s="16">
        <v>0.21099999999999999</v>
      </c>
      <c r="Q41" s="16">
        <v>0.2185</v>
      </c>
      <c r="R41" s="16">
        <v>0.2485</v>
      </c>
      <c r="S41" s="16">
        <v>0.3085</v>
      </c>
      <c r="T41" s="16">
        <v>0.38400000000000001</v>
      </c>
      <c r="U41" s="16">
        <v>0.38200000000000001</v>
      </c>
      <c r="V41" s="16">
        <v>0.4</v>
      </c>
      <c r="W41" s="16">
        <v>0.40600000000000003</v>
      </c>
      <c r="X41" s="19">
        <v>0.42499999999999999</v>
      </c>
      <c r="Y41" s="7">
        <v>0.41899999999999998</v>
      </c>
      <c r="Z41" s="19">
        <v>0.41599999999999998</v>
      </c>
      <c r="AA41" s="19">
        <v>0.38400000000000001</v>
      </c>
      <c r="AB41" s="19">
        <v>0.42099999999999999</v>
      </c>
      <c r="AC41" s="7">
        <v>0.40899999999999997</v>
      </c>
      <c r="AD41" s="24">
        <v>0.46100000000000002</v>
      </c>
      <c r="AE41" s="24">
        <v>0.40200000000000002</v>
      </c>
      <c r="AF41" s="24">
        <v>0.32100000000000001</v>
      </c>
      <c r="AG41" s="24">
        <v>0.28799999999999998</v>
      </c>
      <c r="AH41" s="24">
        <v>0.27</v>
      </c>
      <c r="AI41" s="24">
        <v>0.30099999999999999</v>
      </c>
      <c r="AJ41" s="24">
        <v>0.27</v>
      </c>
      <c r="AK41" s="24">
        <v>0.218</v>
      </c>
      <c r="AL41" s="24">
        <v>0.253</v>
      </c>
      <c r="AM41" s="24">
        <v>0.254</v>
      </c>
      <c r="AN41" s="51">
        <v>0.32400000000000001</v>
      </c>
      <c r="AO41" s="51">
        <v>0.249</v>
      </c>
      <c r="AP41" s="51">
        <v>0.27200000000000002</v>
      </c>
      <c r="AQ41" s="51">
        <v>0.34699999999999998</v>
      </c>
      <c r="AR41" s="51">
        <v>0.311</v>
      </c>
      <c r="AS41" s="51">
        <v>0.31</v>
      </c>
      <c r="AT41" s="51">
        <v>0.3</v>
      </c>
      <c r="AU41" s="51">
        <v>0.29299999999999998</v>
      </c>
      <c r="AV41" s="51">
        <v>0.26300000000000001</v>
      </c>
      <c r="AW41" s="51">
        <v>0.23499999999999999</v>
      </c>
      <c r="AX41" s="51">
        <v>0.23</v>
      </c>
      <c r="AY41" s="51">
        <v>0.21099999999999999</v>
      </c>
      <c r="AZ41" s="51" t="s">
        <v>38</v>
      </c>
      <c r="BA41" s="51">
        <v>0.22500000000000001</v>
      </c>
      <c r="BB41" s="52">
        <v>0.17549999999999999</v>
      </c>
      <c r="BC41" s="51">
        <v>0.1895</v>
      </c>
      <c r="BD41" s="20" t="s">
        <v>38</v>
      </c>
      <c r="BE41" s="20" t="s">
        <v>38</v>
      </c>
      <c r="BF41" s="20" t="s">
        <v>38</v>
      </c>
      <c r="BG41" s="51">
        <v>0.3715</v>
      </c>
      <c r="BH41" s="38">
        <v>0.30099999999999999</v>
      </c>
      <c r="BI41" s="38">
        <v>0.33500000000000002</v>
      </c>
      <c r="BJ41" s="38">
        <v>0.37</v>
      </c>
      <c r="BK41" s="38">
        <v>0.32250000000000001</v>
      </c>
      <c r="BL41" s="38">
        <v>0.32400000000000001</v>
      </c>
      <c r="BM41" s="38">
        <v>0.3775</v>
      </c>
      <c r="BN41" s="20" t="s">
        <v>38</v>
      </c>
      <c r="BO41" s="51">
        <v>0.32550000000000001</v>
      </c>
      <c r="BP41" s="38">
        <v>0.33450000000000002</v>
      </c>
      <c r="BQ41" s="38">
        <v>0.314</v>
      </c>
      <c r="BR41" s="56">
        <v>0.29849999999999999</v>
      </c>
      <c r="BS41" s="56">
        <v>0.29549999999999998</v>
      </c>
      <c r="BT41" s="56">
        <v>0.28449999999999998</v>
      </c>
      <c r="BU41" s="42">
        <v>0.27750000000000002</v>
      </c>
      <c r="BV41" s="56">
        <v>0.32350000000000001</v>
      </c>
      <c r="BW41" s="42">
        <v>0.27649999999999997</v>
      </c>
      <c r="BX41" s="42">
        <v>0.2555</v>
      </c>
      <c r="BY41" s="85">
        <f>(0.404+0.394)/2</f>
        <v>0.39900000000000002</v>
      </c>
      <c r="BZ41" s="85">
        <f>(0.338+0.346)/2</f>
        <v>0.34199999999999997</v>
      </c>
      <c r="CA41" s="87">
        <v>0.48349999999999999</v>
      </c>
    </row>
    <row r="42" spans="1:79">
      <c r="A42" s="29">
        <v>33</v>
      </c>
      <c r="B42" s="83">
        <v>254630.21045499999</v>
      </c>
      <c r="C42" s="83">
        <v>4505643.6264500003</v>
      </c>
      <c r="D42" s="20" t="s">
        <v>38</v>
      </c>
      <c r="E42" s="20" t="s">
        <v>38</v>
      </c>
      <c r="F42" s="20" t="s">
        <v>38</v>
      </c>
      <c r="G42" s="20" t="s">
        <v>38</v>
      </c>
      <c r="H42" s="20" t="s">
        <v>38</v>
      </c>
      <c r="I42" s="20" t="s">
        <v>38</v>
      </c>
      <c r="J42" s="20" t="s">
        <v>38</v>
      </c>
      <c r="K42" s="20" t="s">
        <v>38</v>
      </c>
      <c r="L42" s="20" t="s">
        <v>38</v>
      </c>
      <c r="M42" s="20" t="s">
        <v>38</v>
      </c>
      <c r="N42" s="20" t="s">
        <v>38</v>
      </c>
      <c r="O42" s="20" t="s">
        <v>38</v>
      </c>
      <c r="P42" s="20" t="s">
        <v>38</v>
      </c>
      <c r="Q42" s="20" t="s">
        <v>38</v>
      </c>
      <c r="R42" s="20" t="s">
        <v>38</v>
      </c>
      <c r="S42" s="20" t="s">
        <v>38</v>
      </c>
      <c r="T42" s="20" t="s">
        <v>38</v>
      </c>
      <c r="U42" s="20" t="s">
        <v>38</v>
      </c>
      <c r="V42" s="20" t="s">
        <v>38</v>
      </c>
      <c r="W42" s="20" t="s">
        <v>38</v>
      </c>
      <c r="X42" s="20" t="s">
        <v>38</v>
      </c>
      <c r="Y42" s="20" t="s">
        <v>38</v>
      </c>
      <c r="Z42" s="20" t="s">
        <v>38</v>
      </c>
      <c r="AA42" s="20" t="s">
        <v>38</v>
      </c>
      <c r="AB42" s="20" t="s">
        <v>38</v>
      </c>
      <c r="AC42" s="20" t="s">
        <v>38</v>
      </c>
      <c r="AD42" s="20" t="s">
        <v>38</v>
      </c>
      <c r="AE42" s="20" t="s">
        <v>38</v>
      </c>
      <c r="AF42" s="20" t="s">
        <v>38</v>
      </c>
      <c r="AG42" s="20" t="s">
        <v>38</v>
      </c>
      <c r="AH42" s="20" t="s">
        <v>38</v>
      </c>
      <c r="AI42" s="20" t="s">
        <v>38</v>
      </c>
      <c r="AJ42" s="20" t="s">
        <v>38</v>
      </c>
      <c r="AK42" s="20" t="s">
        <v>38</v>
      </c>
      <c r="AL42" s="20" t="s">
        <v>38</v>
      </c>
      <c r="AM42" s="20" t="s">
        <v>38</v>
      </c>
      <c r="AN42" s="20" t="s">
        <v>38</v>
      </c>
      <c r="AO42" s="20" t="s">
        <v>38</v>
      </c>
      <c r="AP42" s="20" t="s">
        <v>38</v>
      </c>
      <c r="AQ42" s="20" t="s">
        <v>38</v>
      </c>
      <c r="AR42" s="20" t="s">
        <v>38</v>
      </c>
      <c r="AS42" s="20" t="s">
        <v>38</v>
      </c>
      <c r="AT42" s="20" t="s">
        <v>38</v>
      </c>
      <c r="AU42" s="20" t="s">
        <v>38</v>
      </c>
      <c r="AV42" s="20" t="s">
        <v>38</v>
      </c>
      <c r="AW42" s="20" t="s">
        <v>38</v>
      </c>
      <c r="AX42" s="20" t="s">
        <v>38</v>
      </c>
      <c r="AY42" s="20" t="s">
        <v>38</v>
      </c>
      <c r="AZ42" s="20" t="s">
        <v>38</v>
      </c>
      <c r="BA42" s="20" t="s">
        <v>38</v>
      </c>
      <c r="BB42" s="20" t="s">
        <v>38</v>
      </c>
      <c r="BC42" s="20" t="s">
        <v>38</v>
      </c>
      <c r="BD42" s="20" t="s">
        <v>38</v>
      </c>
      <c r="BE42" s="20" t="s">
        <v>38</v>
      </c>
      <c r="BF42" s="20" t="s">
        <v>38</v>
      </c>
      <c r="BG42" s="20" t="s">
        <v>38</v>
      </c>
      <c r="BH42" s="20" t="s">
        <v>38</v>
      </c>
      <c r="BI42" s="20" t="s">
        <v>38</v>
      </c>
      <c r="BJ42" s="20" t="s">
        <v>38</v>
      </c>
      <c r="BK42" s="20" t="s">
        <v>38</v>
      </c>
      <c r="BL42" s="20" t="s">
        <v>38</v>
      </c>
      <c r="BM42" s="20" t="s">
        <v>38</v>
      </c>
      <c r="BN42" s="20" t="s">
        <v>38</v>
      </c>
      <c r="BO42" s="20" t="s">
        <v>38</v>
      </c>
      <c r="BP42" s="20" t="s">
        <v>38</v>
      </c>
      <c r="BQ42" s="20" t="s">
        <v>38</v>
      </c>
      <c r="BR42" s="20" t="s">
        <v>38</v>
      </c>
      <c r="BS42" s="20" t="s">
        <v>38</v>
      </c>
      <c r="BT42" s="20" t="s">
        <v>38</v>
      </c>
      <c r="BU42" s="20" t="s">
        <v>38</v>
      </c>
      <c r="BV42" s="20" t="s">
        <v>38</v>
      </c>
      <c r="BW42" s="20" t="s">
        <v>38</v>
      </c>
      <c r="BX42" s="20" t="s">
        <v>38</v>
      </c>
      <c r="BY42" s="61" t="s">
        <v>38</v>
      </c>
      <c r="BZ42" s="61" t="s">
        <v>38</v>
      </c>
      <c r="CA42" s="87" t="s">
        <v>38</v>
      </c>
    </row>
    <row r="43" spans="1:79">
      <c r="A43" s="29">
        <v>34</v>
      </c>
      <c r="B43" s="82">
        <v>254645.629514</v>
      </c>
      <c r="C43" s="82">
        <v>4505638.1997999996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 t="s">
        <v>38</v>
      </c>
      <c r="O43" s="17" t="s">
        <v>38</v>
      </c>
      <c r="P43" s="17" t="s">
        <v>38</v>
      </c>
      <c r="Q43" s="17" t="s">
        <v>38</v>
      </c>
      <c r="R43" s="17" t="s">
        <v>38</v>
      </c>
      <c r="S43" s="17" t="s">
        <v>38</v>
      </c>
      <c r="T43" s="17" t="s">
        <v>38</v>
      </c>
      <c r="U43" s="17" t="s">
        <v>38</v>
      </c>
      <c r="V43" s="17" t="s">
        <v>38</v>
      </c>
      <c r="W43" s="17" t="s">
        <v>38</v>
      </c>
      <c r="X43" s="17" t="s">
        <v>38</v>
      </c>
      <c r="Y43" s="17" t="s">
        <v>38</v>
      </c>
      <c r="Z43" s="17" t="s">
        <v>38</v>
      </c>
      <c r="AA43" s="17" t="s">
        <v>38</v>
      </c>
      <c r="AB43" s="17" t="s">
        <v>38</v>
      </c>
      <c r="AC43" s="17" t="s">
        <v>38</v>
      </c>
      <c r="AD43" s="17" t="s">
        <v>38</v>
      </c>
      <c r="AE43" s="17" t="s">
        <v>38</v>
      </c>
      <c r="AF43" s="17" t="s">
        <v>38</v>
      </c>
      <c r="AG43" s="17" t="s">
        <v>38</v>
      </c>
      <c r="AH43" s="17" t="s">
        <v>38</v>
      </c>
      <c r="AI43" s="17" t="s">
        <v>38</v>
      </c>
      <c r="AJ43" s="17" t="s">
        <v>38</v>
      </c>
      <c r="AK43" s="17" t="s">
        <v>38</v>
      </c>
      <c r="AL43" s="17" t="s">
        <v>38</v>
      </c>
      <c r="AM43" s="17" t="s">
        <v>38</v>
      </c>
      <c r="AN43" s="17" t="s">
        <v>38</v>
      </c>
      <c r="AO43" s="17" t="s">
        <v>38</v>
      </c>
      <c r="AP43" s="17" t="s">
        <v>38</v>
      </c>
      <c r="AQ43" s="17" t="s">
        <v>38</v>
      </c>
      <c r="AR43" s="17" t="s">
        <v>38</v>
      </c>
      <c r="AS43" s="17" t="s">
        <v>38</v>
      </c>
      <c r="AT43" s="17" t="s">
        <v>38</v>
      </c>
      <c r="AU43" s="17" t="s">
        <v>38</v>
      </c>
      <c r="AV43" s="17" t="s">
        <v>38</v>
      </c>
      <c r="AW43" s="17" t="s">
        <v>38</v>
      </c>
      <c r="AX43" s="17" t="s">
        <v>38</v>
      </c>
      <c r="AY43" s="17" t="s">
        <v>38</v>
      </c>
      <c r="AZ43" s="17" t="s">
        <v>38</v>
      </c>
      <c r="BA43" s="17" t="s">
        <v>38</v>
      </c>
      <c r="BB43" s="17" t="s">
        <v>38</v>
      </c>
      <c r="BC43" s="17" t="s">
        <v>38</v>
      </c>
      <c r="BD43" s="17" t="s">
        <v>38</v>
      </c>
      <c r="BE43" s="17" t="s">
        <v>38</v>
      </c>
      <c r="BF43" s="17" t="s">
        <v>38</v>
      </c>
      <c r="BG43" s="17" t="s">
        <v>38</v>
      </c>
      <c r="BH43" s="17" t="s">
        <v>38</v>
      </c>
      <c r="BI43" s="17" t="s">
        <v>38</v>
      </c>
      <c r="BJ43" s="17" t="s">
        <v>38</v>
      </c>
      <c r="BK43" s="17" t="s">
        <v>38</v>
      </c>
      <c r="BL43" s="17" t="s">
        <v>38</v>
      </c>
      <c r="BM43" s="17" t="s">
        <v>38</v>
      </c>
      <c r="BN43" s="17" t="s">
        <v>38</v>
      </c>
      <c r="BO43" s="17" t="s">
        <v>38</v>
      </c>
      <c r="BP43" s="17" t="s">
        <v>38</v>
      </c>
      <c r="BQ43" s="17" t="s">
        <v>38</v>
      </c>
      <c r="BR43" s="17" t="s">
        <v>38</v>
      </c>
      <c r="BS43" s="17" t="s">
        <v>38</v>
      </c>
      <c r="BT43" s="17" t="s">
        <v>38</v>
      </c>
      <c r="BU43" s="17" t="s">
        <v>38</v>
      </c>
      <c r="BV43" s="17" t="s">
        <v>38</v>
      </c>
      <c r="BW43" s="17" t="s">
        <v>38</v>
      </c>
      <c r="BX43" s="17" t="s">
        <v>38</v>
      </c>
      <c r="BY43" s="85" t="s">
        <v>38</v>
      </c>
      <c r="BZ43" s="85" t="s">
        <v>38</v>
      </c>
      <c r="CA43" s="86" t="s">
        <v>38</v>
      </c>
    </row>
    <row r="44" spans="1:79">
      <c r="A44" s="29">
        <v>35</v>
      </c>
      <c r="B44" s="83">
        <v>254670.124698</v>
      </c>
      <c r="C44" s="83">
        <v>4505665.0644100001</v>
      </c>
      <c r="D44" s="20" t="s">
        <v>38</v>
      </c>
      <c r="E44" s="20" t="s">
        <v>38</v>
      </c>
      <c r="F44" s="20" t="s">
        <v>38</v>
      </c>
      <c r="G44" s="20" t="s">
        <v>38</v>
      </c>
      <c r="H44" s="20" t="s">
        <v>38</v>
      </c>
      <c r="I44" s="20" t="s">
        <v>38</v>
      </c>
      <c r="J44" s="20" t="s">
        <v>38</v>
      </c>
      <c r="K44" s="20" t="s">
        <v>38</v>
      </c>
      <c r="L44" s="20" t="s">
        <v>38</v>
      </c>
      <c r="M44" s="20" t="s">
        <v>38</v>
      </c>
      <c r="N44" s="20" t="s">
        <v>38</v>
      </c>
      <c r="O44" s="20" t="s">
        <v>38</v>
      </c>
      <c r="P44" s="20" t="s">
        <v>38</v>
      </c>
      <c r="Q44" s="20" t="s">
        <v>38</v>
      </c>
      <c r="R44" s="20" t="s">
        <v>38</v>
      </c>
      <c r="S44" s="20" t="s">
        <v>38</v>
      </c>
      <c r="T44" s="20" t="s">
        <v>38</v>
      </c>
      <c r="U44" s="20" t="s">
        <v>38</v>
      </c>
      <c r="V44" s="20" t="s">
        <v>38</v>
      </c>
      <c r="W44" s="20" t="s">
        <v>38</v>
      </c>
      <c r="X44" s="20" t="s">
        <v>38</v>
      </c>
      <c r="Y44" s="20" t="s">
        <v>38</v>
      </c>
      <c r="Z44" s="20" t="s">
        <v>38</v>
      </c>
      <c r="AA44" s="20" t="s">
        <v>38</v>
      </c>
      <c r="AB44" s="20" t="s">
        <v>38</v>
      </c>
      <c r="AC44" s="20" t="s">
        <v>38</v>
      </c>
      <c r="AD44" s="20" t="s">
        <v>38</v>
      </c>
      <c r="AE44" s="20" t="s">
        <v>38</v>
      </c>
      <c r="AF44" s="20" t="s">
        <v>38</v>
      </c>
      <c r="AG44" s="20" t="s">
        <v>38</v>
      </c>
      <c r="AH44" s="20" t="s">
        <v>38</v>
      </c>
      <c r="AI44" s="20" t="s">
        <v>38</v>
      </c>
      <c r="AJ44" s="20" t="s">
        <v>38</v>
      </c>
      <c r="AK44" s="20" t="s">
        <v>38</v>
      </c>
      <c r="AL44" s="20" t="s">
        <v>38</v>
      </c>
      <c r="AM44" s="20" t="s">
        <v>38</v>
      </c>
      <c r="AN44" s="20" t="s">
        <v>38</v>
      </c>
      <c r="AO44" s="20" t="s">
        <v>38</v>
      </c>
      <c r="AP44" s="20" t="s">
        <v>38</v>
      </c>
      <c r="AQ44" s="20" t="s">
        <v>38</v>
      </c>
      <c r="AR44" s="20" t="s">
        <v>38</v>
      </c>
      <c r="AS44" s="20" t="s">
        <v>38</v>
      </c>
      <c r="AT44" s="20" t="s">
        <v>38</v>
      </c>
      <c r="AU44" s="20" t="s">
        <v>38</v>
      </c>
      <c r="AV44" s="20" t="s">
        <v>38</v>
      </c>
      <c r="AW44" s="20" t="s">
        <v>38</v>
      </c>
      <c r="AX44" s="20" t="s">
        <v>38</v>
      </c>
      <c r="AY44" s="20" t="s">
        <v>38</v>
      </c>
      <c r="AZ44" s="20" t="s">
        <v>38</v>
      </c>
      <c r="BA44" s="20" t="s">
        <v>38</v>
      </c>
      <c r="BB44" s="20" t="s">
        <v>38</v>
      </c>
      <c r="BC44" s="20" t="s">
        <v>38</v>
      </c>
      <c r="BD44" s="20" t="s">
        <v>38</v>
      </c>
      <c r="BE44" s="20" t="s">
        <v>38</v>
      </c>
      <c r="BF44" s="20" t="s">
        <v>38</v>
      </c>
      <c r="BG44" s="20" t="s">
        <v>38</v>
      </c>
      <c r="BH44" s="20" t="s">
        <v>38</v>
      </c>
      <c r="BI44" s="20" t="s">
        <v>38</v>
      </c>
      <c r="BJ44" s="20" t="s">
        <v>38</v>
      </c>
      <c r="BK44" s="20" t="s">
        <v>38</v>
      </c>
      <c r="BL44" s="20" t="s">
        <v>38</v>
      </c>
      <c r="BM44" s="20" t="s">
        <v>38</v>
      </c>
      <c r="BN44" s="20" t="s">
        <v>38</v>
      </c>
      <c r="BO44" s="20" t="s">
        <v>38</v>
      </c>
      <c r="BP44" s="20" t="s">
        <v>38</v>
      </c>
      <c r="BQ44" s="20" t="s">
        <v>38</v>
      </c>
      <c r="BR44" s="20" t="s">
        <v>38</v>
      </c>
      <c r="BS44" s="20" t="s">
        <v>38</v>
      </c>
      <c r="BT44" s="20" t="s">
        <v>38</v>
      </c>
      <c r="BU44" s="20" t="s">
        <v>38</v>
      </c>
      <c r="BV44" s="20" t="s">
        <v>38</v>
      </c>
      <c r="BW44" s="20" t="s">
        <v>38</v>
      </c>
      <c r="BX44" s="20" t="s">
        <v>38</v>
      </c>
      <c r="BY44" s="61" t="s">
        <v>38</v>
      </c>
      <c r="BZ44" s="61" t="s">
        <v>38</v>
      </c>
      <c r="CA44" s="87" t="s">
        <v>38</v>
      </c>
    </row>
    <row r="45" spans="1:79">
      <c r="A45" s="29">
        <v>36</v>
      </c>
      <c r="B45" s="82">
        <v>254694.327835</v>
      </c>
      <c r="C45" s="82">
        <v>4505677.1803099997</v>
      </c>
      <c r="D45" s="20" t="s">
        <v>38</v>
      </c>
      <c r="E45" s="20" t="s">
        <v>38</v>
      </c>
      <c r="F45" s="20" t="s">
        <v>38</v>
      </c>
      <c r="G45" s="20" t="s">
        <v>38</v>
      </c>
      <c r="H45" s="20" t="s">
        <v>38</v>
      </c>
      <c r="I45" s="20" t="s">
        <v>38</v>
      </c>
      <c r="J45" s="20" t="s">
        <v>38</v>
      </c>
      <c r="K45" s="20" t="s">
        <v>38</v>
      </c>
      <c r="L45" s="20" t="s">
        <v>38</v>
      </c>
      <c r="M45" s="20" t="s">
        <v>38</v>
      </c>
      <c r="N45" s="20" t="s">
        <v>38</v>
      </c>
      <c r="O45" s="20" t="s">
        <v>38</v>
      </c>
      <c r="P45" s="20" t="s">
        <v>38</v>
      </c>
      <c r="Q45" s="20" t="s">
        <v>38</v>
      </c>
      <c r="R45" s="20" t="s">
        <v>38</v>
      </c>
      <c r="S45" s="20" t="s">
        <v>38</v>
      </c>
      <c r="T45" s="20" t="s">
        <v>38</v>
      </c>
      <c r="U45" s="20" t="s">
        <v>38</v>
      </c>
      <c r="V45" s="20" t="s">
        <v>38</v>
      </c>
      <c r="W45" s="20" t="s">
        <v>38</v>
      </c>
      <c r="X45" s="20" t="s">
        <v>38</v>
      </c>
      <c r="Y45" s="20" t="s">
        <v>38</v>
      </c>
      <c r="Z45" s="20" t="s">
        <v>38</v>
      </c>
      <c r="AA45" s="20" t="s">
        <v>38</v>
      </c>
      <c r="AB45" s="20" t="s">
        <v>38</v>
      </c>
      <c r="AC45" s="20" t="s">
        <v>38</v>
      </c>
      <c r="AD45" s="20" t="s">
        <v>38</v>
      </c>
      <c r="AE45" s="20" t="s">
        <v>38</v>
      </c>
      <c r="AF45" s="20" t="s">
        <v>38</v>
      </c>
      <c r="AG45" s="20" t="s">
        <v>38</v>
      </c>
      <c r="AH45" s="20" t="s">
        <v>38</v>
      </c>
      <c r="AI45" s="20" t="s">
        <v>38</v>
      </c>
      <c r="AJ45" s="20" t="s">
        <v>38</v>
      </c>
      <c r="AK45" s="20" t="s">
        <v>38</v>
      </c>
      <c r="AL45" s="20" t="s">
        <v>38</v>
      </c>
      <c r="AM45" s="20" t="s">
        <v>38</v>
      </c>
      <c r="AN45" s="20" t="s">
        <v>38</v>
      </c>
      <c r="AO45" s="20" t="s">
        <v>38</v>
      </c>
      <c r="AP45" s="20" t="s">
        <v>38</v>
      </c>
      <c r="AQ45" s="20" t="s">
        <v>38</v>
      </c>
      <c r="AR45" s="20" t="s">
        <v>38</v>
      </c>
      <c r="AS45" s="20" t="s">
        <v>38</v>
      </c>
      <c r="AT45" s="20" t="s">
        <v>38</v>
      </c>
      <c r="AU45" s="20" t="s">
        <v>38</v>
      </c>
      <c r="AV45" s="20" t="s">
        <v>38</v>
      </c>
      <c r="AW45" s="20" t="s">
        <v>38</v>
      </c>
      <c r="AX45" s="20" t="s">
        <v>38</v>
      </c>
      <c r="AY45" s="20" t="s">
        <v>38</v>
      </c>
      <c r="AZ45" s="20" t="s">
        <v>38</v>
      </c>
      <c r="BA45" s="20" t="s">
        <v>38</v>
      </c>
      <c r="BB45" s="20" t="s">
        <v>38</v>
      </c>
      <c r="BC45" s="20" t="s">
        <v>38</v>
      </c>
      <c r="BD45" s="20" t="s">
        <v>38</v>
      </c>
      <c r="BE45" s="20" t="s">
        <v>38</v>
      </c>
      <c r="BF45" s="20" t="s">
        <v>38</v>
      </c>
      <c r="BG45" s="20" t="s">
        <v>38</v>
      </c>
      <c r="BH45" s="20" t="s">
        <v>38</v>
      </c>
      <c r="BI45" s="20" t="s">
        <v>38</v>
      </c>
      <c r="BJ45" s="20" t="s">
        <v>38</v>
      </c>
      <c r="BK45" s="20" t="s">
        <v>38</v>
      </c>
      <c r="BL45" s="20" t="s">
        <v>38</v>
      </c>
      <c r="BM45" s="20" t="s">
        <v>38</v>
      </c>
      <c r="BN45" s="20" t="s">
        <v>38</v>
      </c>
      <c r="BO45" s="20" t="s">
        <v>38</v>
      </c>
      <c r="BP45" s="20" t="s">
        <v>38</v>
      </c>
      <c r="BQ45" s="20" t="s">
        <v>38</v>
      </c>
      <c r="BR45" s="20" t="s">
        <v>38</v>
      </c>
      <c r="BS45" s="20" t="s">
        <v>38</v>
      </c>
      <c r="BT45" s="20" t="s">
        <v>38</v>
      </c>
      <c r="BU45" s="20" t="s">
        <v>38</v>
      </c>
      <c r="BV45" s="20" t="s">
        <v>38</v>
      </c>
      <c r="BW45" s="20" t="s">
        <v>38</v>
      </c>
      <c r="BX45" s="20" t="s">
        <v>38</v>
      </c>
      <c r="BY45" s="61" t="s">
        <v>38</v>
      </c>
      <c r="BZ45" s="61" t="s">
        <v>38</v>
      </c>
      <c r="CA45" s="87" t="s">
        <v>38</v>
      </c>
    </row>
    <row r="46" spans="1:79">
      <c r="A46" s="29">
        <v>37</v>
      </c>
      <c r="B46" s="82">
        <v>254278.222178</v>
      </c>
      <c r="C46" s="82">
        <v>4505598.09038</v>
      </c>
      <c r="D46" s="20" t="s">
        <v>38</v>
      </c>
      <c r="E46" s="20" t="s">
        <v>38</v>
      </c>
      <c r="F46" s="20" t="s">
        <v>38</v>
      </c>
      <c r="G46" s="20" t="s">
        <v>38</v>
      </c>
      <c r="H46" s="20" t="s">
        <v>38</v>
      </c>
      <c r="I46" s="20" t="s">
        <v>38</v>
      </c>
      <c r="J46" s="20" t="s">
        <v>38</v>
      </c>
      <c r="K46" s="20" t="s">
        <v>38</v>
      </c>
      <c r="L46" s="20" t="s">
        <v>38</v>
      </c>
      <c r="M46" s="20" t="s">
        <v>38</v>
      </c>
      <c r="N46" s="20" t="s">
        <v>38</v>
      </c>
      <c r="O46" s="20" t="s">
        <v>38</v>
      </c>
      <c r="P46" s="20" t="s">
        <v>38</v>
      </c>
      <c r="Q46" s="20" t="s">
        <v>38</v>
      </c>
      <c r="R46" s="20" t="s">
        <v>38</v>
      </c>
      <c r="S46" s="20" t="s">
        <v>38</v>
      </c>
      <c r="T46" s="20" t="s">
        <v>38</v>
      </c>
      <c r="U46" s="20" t="s">
        <v>38</v>
      </c>
      <c r="V46" s="20" t="s">
        <v>38</v>
      </c>
      <c r="W46" s="20" t="s">
        <v>38</v>
      </c>
      <c r="X46" s="20" t="s">
        <v>38</v>
      </c>
      <c r="Y46" s="20" t="s">
        <v>38</v>
      </c>
      <c r="Z46" s="20" t="s">
        <v>38</v>
      </c>
      <c r="AA46" s="20" t="s">
        <v>38</v>
      </c>
      <c r="AB46" s="20" t="s">
        <v>38</v>
      </c>
      <c r="AC46" s="20" t="s">
        <v>38</v>
      </c>
      <c r="AD46" s="20" t="s">
        <v>38</v>
      </c>
      <c r="AE46" s="20" t="s">
        <v>38</v>
      </c>
      <c r="AF46" s="20" t="s">
        <v>38</v>
      </c>
      <c r="AG46" s="20" t="s">
        <v>38</v>
      </c>
      <c r="AH46" s="20" t="s">
        <v>38</v>
      </c>
      <c r="AI46" s="20" t="s">
        <v>38</v>
      </c>
      <c r="AJ46" s="20" t="s">
        <v>38</v>
      </c>
      <c r="AK46" s="20" t="s">
        <v>38</v>
      </c>
      <c r="AL46" s="20" t="s">
        <v>38</v>
      </c>
      <c r="AM46" s="20" t="s">
        <v>38</v>
      </c>
      <c r="AN46" s="20" t="s">
        <v>38</v>
      </c>
      <c r="AO46" s="20" t="s">
        <v>38</v>
      </c>
      <c r="AP46" s="20" t="s">
        <v>38</v>
      </c>
      <c r="AQ46" s="20" t="s">
        <v>38</v>
      </c>
      <c r="AR46" s="20" t="s">
        <v>38</v>
      </c>
      <c r="AS46" s="20" t="s">
        <v>38</v>
      </c>
      <c r="AT46" s="20" t="s">
        <v>38</v>
      </c>
      <c r="AU46" s="20" t="s">
        <v>38</v>
      </c>
      <c r="AV46" s="20" t="s">
        <v>38</v>
      </c>
      <c r="AW46" s="20" t="s">
        <v>38</v>
      </c>
      <c r="AX46" s="20" t="s">
        <v>38</v>
      </c>
      <c r="AY46" s="20" t="s">
        <v>38</v>
      </c>
      <c r="AZ46" s="20" t="s">
        <v>38</v>
      </c>
      <c r="BA46" s="20" t="s">
        <v>38</v>
      </c>
      <c r="BB46" s="20" t="s">
        <v>38</v>
      </c>
      <c r="BC46" s="20" t="s">
        <v>38</v>
      </c>
      <c r="BD46" s="20" t="s">
        <v>38</v>
      </c>
      <c r="BE46" s="20" t="s">
        <v>38</v>
      </c>
      <c r="BF46" s="20" t="s">
        <v>38</v>
      </c>
      <c r="BG46" s="20" t="s">
        <v>38</v>
      </c>
      <c r="BH46" s="20" t="s">
        <v>38</v>
      </c>
      <c r="BI46" s="20" t="s">
        <v>38</v>
      </c>
      <c r="BJ46" s="20" t="s">
        <v>38</v>
      </c>
      <c r="BK46" s="20" t="s">
        <v>38</v>
      </c>
      <c r="BL46" s="20" t="s">
        <v>38</v>
      </c>
      <c r="BM46" s="20" t="s">
        <v>38</v>
      </c>
      <c r="BN46" s="20" t="s">
        <v>38</v>
      </c>
      <c r="BO46" s="20" t="s">
        <v>38</v>
      </c>
      <c r="BP46" s="20" t="s">
        <v>38</v>
      </c>
      <c r="BQ46" s="20" t="s">
        <v>38</v>
      </c>
      <c r="BR46" s="20" t="s">
        <v>38</v>
      </c>
      <c r="BS46" s="20" t="s">
        <v>38</v>
      </c>
      <c r="BT46" s="20" t="s">
        <v>38</v>
      </c>
      <c r="BU46" s="20" t="s">
        <v>38</v>
      </c>
      <c r="BV46" s="20" t="s">
        <v>38</v>
      </c>
      <c r="BW46" s="20" t="s">
        <v>38</v>
      </c>
      <c r="BX46" s="20" t="s">
        <v>38</v>
      </c>
      <c r="BY46" s="61" t="s">
        <v>38</v>
      </c>
      <c r="BZ46" s="61" t="s">
        <v>38</v>
      </c>
      <c r="CA46" s="87" t="s">
        <v>38</v>
      </c>
    </row>
    <row r="47" spans="1:79">
      <c r="A47" s="29">
        <v>38</v>
      </c>
      <c r="B47" s="82">
        <v>254283.86705500001</v>
      </c>
      <c r="C47" s="82">
        <v>4505606.6247800002</v>
      </c>
      <c r="D47" s="20" t="s">
        <v>38</v>
      </c>
      <c r="E47" s="20">
        <v>0.314</v>
      </c>
      <c r="F47" s="20">
        <v>0.35499999999999998</v>
      </c>
      <c r="G47" s="20">
        <v>0.38</v>
      </c>
      <c r="H47" s="20">
        <v>0.35799999999999998</v>
      </c>
      <c r="I47" s="20">
        <v>0.32900000000000001</v>
      </c>
      <c r="J47" s="20">
        <v>0.29299999999999998</v>
      </c>
      <c r="K47" s="20">
        <v>0.245</v>
      </c>
      <c r="L47" s="20">
        <v>0.25850000000000001</v>
      </c>
      <c r="M47" s="20">
        <v>0.24399999999999999</v>
      </c>
      <c r="N47" s="16">
        <v>0.2475</v>
      </c>
      <c r="O47" s="16">
        <v>0.252</v>
      </c>
      <c r="P47" s="16">
        <v>0.25</v>
      </c>
      <c r="Q47" s="16">
        <v>0.2485</v>
      </c>
      <c r="R47" s="16">
        <v>0.28000000000000003</v>
      </c>
      <c r="S47" s="16">
        <v>0.29899999999999999</v>
      </c>
      <c r="T47" s="16">
        <v>0.53</v>
      </c>
      <c r="U47" s="16">
        <v>0.504</v>
      </c>
      <c r="V47" s="16">
        <v>0.58299999999999996</v>
      </c>
      <c r="W47" s="16" t="s">
        <v>38</v>
      </c>
      <c r="X47" s="19">
        <v>0.67100000000000004</v>
      </c>
      <c r="Y47" s="7">
        <v>0.66300000000000003</v>
      </c>
      <c r="Z47" s="19">
        <v>0.67700000000000005</v>
      </c>
      <c r="AA47" s="19">
        <v>0.64200000000000002</v>
      </c>
      <c r="AB47" s="19">
        <v>0.63300000000000001</v>
      </c>
      <c r="AC47" s="7" t="s">
        <v>38</v>
      </c>
      <c r="AD47" s="24">
        <v>0.53300000000000003</v>
      </c>
      <c r="AE47" s="24">
        <v>0.56000000000000005</v>
      </c>
      <c r="AF47" s="24">
        <v>0.45600000000000002</v>
      </c>
      <c r="AG47" s="24">
        <v>0.38700000000000001</v>
      </c>
      <c r="AH47" s="24">
        <v>0.35399999999999998</v>
      </c>
      <c r="AI47" s="24">
        <v>0.39200000000000002</v>
      </c>
      <c r="AJ47" s="24">
        <v>0.437</v>
      </c>
      <c r="AK47" s="24">
        <v>0.39700000000000002</v>
      </c>
      <c r="AL47" s="24" t="s">
        <v>38</v>
      </c>
      <c r="AM47" s="24">
        <v>0.47</v>
      </c>
      <c r="AN47" s="51">
        <v>0.41</v>
      </c>
      <c r="AO47" s="51">
        <v>0.31</v>
      </c>
      <c r="AP47" s="51">
        <v>0.315</v>
      </c>
      <c r="AQ47" s="51">
        <v>0.34799999999999998</v>
      </c>
      <c r="AR47" s="51">
        <v>0.33900000000000002</v>
      </c>
      <c r="AS47" s="51">
        <v>0.317</v>
      </c>
      <c r="AT47" s="51">
        <v>0.312</v>
      </c>
      <c r="AU47" s="51">
        <v>0.33</v>
      </c>
      <c r="AV47" s="51">
        <v>0.31900000000000001</v>
      </c>
      <c r="AW47" s="51">
        <v>0.29599999999999999</v>
      </c>
      <c r="AX47" s="51">
        <v>0.24399999999999999</v>
      </c>
      <c r="AY47" s="51">
        <v>0.27200000000000002</v>
      </c>
      <c r="AZ47" s="51">
        <v>0.27500000000000002</v>
      </c>
      <c r="BA47" s="51">
        <v>0.25900000000000001</v>
      </c>
      <c r="BB47" s="52">
        <v>0.21350000000000002</v>
      </c>
      <c r="BC47" s="51">
        <v>0.26400000000000001</v>
      </c>
      <c r="BD47" s="20" t="s">
        <v>38</v>
      </c>
      <c r="BE47" s="20" t="s">
        <v>38</v>
      </c>
      <c r="BF47" s="20" t="s">
        <v>38</v>
      </c>
      <c r="BG47" s="51">
        <v>0.29900000000000004</v>
      </c>
      <c r="BH47" s="38">
        <v>0.33750000000000002</v>
      </c>
      <c r="BI47" s="38">
        <v>0.33899999999999997</v>
      </c>
      <c r="BJ47" s="38">
        <v>0.38100000000000001</v>
      </c>
      <c r="BK47" s="38">
        <v>0.36</v>
      </c>
      <c r="BL47" s="38">
        <v>0.33800000000000002</v>
      </c>
      <c r="BM47" s="38">
        <v>0.36399999999999999</v>
      </c>
      <c r="BN47" s="51">
        <v>0.35799999999999998</v>
      </c>
      <c r="BO47" s="51">
        <v>0.36899999999999999</v>
      </c>
      <c r="BP47" s="38">
        <v>0.34250000000000003</v>
      </c>
      <c r="BQ47" s="38">
        <v>0.309</v>
      </c>
      <c r="BR47" s="56">
        <v>0.30099999999999999</v>
      </c>
      <c r="BS47" s="56">
        <v>0.30149999999999999</v>
      </c>
      <c r="BT47" s="56">
        <v>0.28600000000000003</v>
      </c>
      <c r="BU47" s="42">
        <v>0.27050000000000002</v>
      </c>
      <c r="BV47" s="56">
        <v>0.40250000000000002</v>
      </c>
      <c r="BW47" s="42">
        <v>0.26500000000000001</v>
      </c>
      <c r="BX47" s="42">
        <v>0.27900000000000003</v>
      </c>
      <c r="BY47" s="85">
        <f>(0.35+0.366)/2</f>
        <v>0.35799999999999998</v>
      </c>
      <c r="BZ47" s="85">
        <f>(0.495+0.485)/2</f>
        <v>0.49</v>
      </c>
      <c r="CA47" s="87">
        <v>0.35099999999999998</v>
      </c>
    </row>
    <row r="48" spans="1:79">
      <c r="A48" s="29">
        <v>39</v>
      </c>
      <c r="B48" s="83">
        <v>254326.89087</v>
      </c>
      <c r="C48" s="83">
        <v>4505589.7420199998</v>
      </c>
      <c r="D48" s="20" t="s">
        <v>38</v>
      </c>
      <c r="E48" s="20" t="s">
        <v>38</v>
      </c>
      <c r="F48" s="20" t="s">
        <v>38</v>
      </c>
      <c r="G48" s="20" t="s">
        <v>38</v>
      </c>
      <c r="H48" s="20" t="s">
        <v>38</v>
      </c>
      <c r="I48" s="20" t="s">
        <v>38</v>
      </c>
      <c r="J48" s="20" t="s">
        <v>38</v>
      </c>
      <c r="K48" s="20" t="s">
        <v>38</v>
      </c>
      <c r="L48" s="20" t="s">
        <v>38</v>
      </c>
      <c r="M48" s="20" t="s">
        <v>38</v>
      </c>
      <c r="N48" s="20" t="s">
        <v>38</v>
      </c>
      <c r="O48" s="20" t="s">
        <v>38</v>
      </c>
      <c r="P48" s="20" t="s">
        <v>38</v>
      </c>
      <c r="Q48" s="20" t="s">
        <v>38</v>
      </c>
      <c r="R48" s="20" t="s">
        <v>38</v>
      </c>
      <c r="S48" s="20" t="s">
        <v>38</v>
      </c>
      <c r="T48" s="20" t="s">
        <v>38</v>
      </c>
      <c r="U48" s="20" t="s">
        <v>38</v>
      </c>
      <c r="V48" s="20" t="s">
        <v>38</v>
      </c>
      <c r="W48" s="20" t="s">
        <v>38</v>
      </c>
      <c r="X48" s="20" t="s">
        <v>38</v>
      </c>
      <c r="Y48" s="20" t="s">
        <v>38</v>
      </c>
      <c r="Z48" s="20" t="s">
        <v>38</v>
      </c>
      <c r="AA48" s="20" t="s">
        <v>38</v>
      </c>
      <c r="AB48" s="20" t="s">
        <v>38</v>
      </c>
      <c r="AC48" s="20" t="s">
        <v>38</v>
      </c>
      <c r="AD48" s="20" t="s">
        <v>38</v>
      </c>
      <c r="AE48" s="20" t="s">
        <v>38</v>
      </c>
      <c r="AF48" s="20" t="s">
        <v>38</v>
      </c>
      <c r="AG48" s="20" t="s">
        <v>38</v>
      </c>
      <c r="AH48" s="20" t="s">
        <v>38</v>
      </c>
      <c r="AI48" s="20" t="s">
        <v>38</v>
      </c>
      <c r="AJ48" s="20" t="s">
        <v>38</v>
      </c>
      <c r="AK48" s="20" t="s">
        <v>38</v>
      </c>
      <c r="AL48" s="20" t="s">
        <v>38</v>
      </c>
      <c r="AM48" s="20" t="s">
        <v>38</v>
      </c>
      <c r="AN48" s="20" t="s">
        <v>38</v>
      </c>
      <c r="AO48" s="20" t="s">
        <v>38</v>
      </c>
      <c r="AP48" s="20" t="s">
        <v>38</v>
      </c>
      <c r="AQ48" s="20" t="s">
        <v>38</v>
      </c>
      <c r="AR48" s="20" t="s">
        <v>38</v>
      </c>
      <c r="AS48" s="20" t="s">
        <v>38</v>
      </c>
      <c r="AT48" s="20" t="s">
        <v>38</v>
      </c>
      <c r="AU48" s="20" t="s">
        <v>38</v>
      </c>
      <c r="AV48" s="20" t="s">
        <v>38</v>
      </c>
      <c r="AW48" s="20" t="s">
        <v>38</v>
      </c>
      <c r="AX48" s="20" t="s">
        <v>38</v>
      </c>
      <c r="AY48" s="20" t="s">
        <v>38</v>
      </c>
      <c r="AZ48" s="20" t="s">
        <v>38</v>
      </c>
      <c r="BA48" s="20" t="s">
        <v>38</v>
      </c>
      <c r="BB48" s="20" t="s">
        <v>38</v>
      </c>
      <c r="BC48" s="20" t="s">
        <v>38</v>
      </c>
      <c r="BD48" s="20" t="s">
        <v>38</v>
      </c>
      <c r="BE48" s="20" t="s">
        <v>38</v>
      </c>
      <c r="BF48" s="20" t="s">
        <v>38</v>
      </c>
      <c r="BG48" s="20" t="s">
        <v>38</v>
      </c>
      <c r="BH48" s="20" t="s">
        <v>38</v>
      </c>
      <c r="BI48" s="20" t="s">
        <v>38</v>
      </c>
      <c r="BJ48" s="20" t="s">
        <v>38</v>
      </c>
      <c r="BK48" s="20" t="s">
        <v>38</v>
      </c>
      <c r="BL48" s="20" t="s">
        <v>38</v>
      </c>
      <c r="BM48" s="20" t="s">
        <v>38</v>
      </c>
      <c r="BN48" s="20" t="s">
        <v>38</v>
      </c>
      <c r="BO48" s="20" t="s">
        <v>38</v>
      </c>
      <c r="BP48" s="20" t="s">
        <v>38</v>
      </c>
      <c r="BQ48" s="20" t="s">
        <v>38</v>
      </c>
      <c r="BR48" s="20" t="s">
        <v>38</v>
      </c>
      <c r="BS48" s="20" t="s">
        <v>38</v>
      </c>
      <c r="BT48" s="20" t="s">
        <v>38</v>
      </c>
      <c r="BU48" s="20" t="s">
        <v>38</v>
      </c>
      <c r="BV48" s="20" t="s">
        <v>38</v>
      </c>
      <c r="BW48" s="20" t="s">
        <v>38</v>
      </c>
      <c r="BX48" s="20" t="s">
        <v>38</v>
      </c>
      <c r="BY48" s="61" t="s">
        <v>38</v>
      </c>
      <c r="BZ48" s="61" t="s">
        <v>38</v>
      </c>
      <c r="CA48" s="87" t="s">
        <v>38</v>
      </c>
    </row>
    <row r="49" spans="1:79">
      <c r="A49" s="29">
        <v>40</v>
      </c>
      <c r="B49" s="82">
        <v>254322.92004600001</v>
      </c>
      <c r="C49" s="82">
        <v>4505620.3210300002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 t="s">
        <v>38</v>
      </c>
      <c r="O49" s="17" t="s">
        <v>38</v>
      </c>
      <c r="P49" s="17" t="s">
        <v>38</v>
      </c>
      <c r="Q49" s="17" t="s">
        <v>38</v>
      </c>
      <c r="R49" s="17" t="s">
        <v>38</v>
      </c>
      <c r="S49" s="17" t="s">
        <v>38</v>
      </c>
      <c r="T49" s="17" t="s">
        <v>38</v>
      </c>
      <c r="U49" s="17" t="s">
        <v>38</v>
      </c>
      <c r="V49" s="17" t="s">
        <v>38</v>
      </c>
      <c r="W49" s="17" t="s">
        <v>38</v>
      </c>
      <c r="X49" s="17" t="s">
        <v>38</v>
      </c>
      <c r="Y49" s="17" t="s">
        <v>38</v>
      </c>
      <c r="Z49" s="17" t="s">
        <v>38</v>
      </c>
      <c r="AA49" s="17" t="s">
        <v>38</v>
      </c>
      <c r="AB49" s="17" t="s">
        <v>38</v>
      </c>
      <c r="AC49" s="17" t="s">
        <v>38</v>
      </c>
      <c r="AD49" s="17" t="s">
        <v>38</v>
      </c>
      <c r="AE49" s="17" t="s">
        <v>38</v>
      </c>
      <c r="AF49" s="17" t="s">
        <v>38</v>
      </c>
      <c r="AG49" s="17" t="s">
        <v>38</v>
      </c>
      <c r="AH49" s="17" t="s">
        <v>38</v>
      </c>
      <c r="AI49" s="17" t="s">
        <v>38</v>
      </c>
      <c r="AJ49" s="17" t="s">
        <v>38</v>
      </c>
      <c r="AK49" s="17" t="s">
        <v>38</v>
      </c>
      <c r="AL49" s="17" t="s">
        <v>38</v>
      </c>
      <c r="AM49" s="17" t="s">
        <v>38</v>
      </c>
      <c r="AN49" s="17" t="s">
        <v>38</v>
      </c>
      <c r="AO49" s="17" t="s">
        <v>38</v>
      </c>
      <c r="AP49" s="17" t="s">
        <v>38</v>
      </c>
      <c r="AQ49" s="17" t="s">
        <v>38</v>
      </c>
      <c r="AR49" s="17" t="s">
        <v>38</v>
      </c>
      <c r="AS49" s="17" t="s">
        <v>38</v>
      </c>
      <c r="AT49" s="17" t="s">
        <v>38</v>
      </c>
      <c r="AU49" s="17" t="s">
        <v>38</v>
      </c>
      <c r="AV49" s="17" t="s">
        <v>38</v>
      </c>
      <c r="AW49" s="17" t="s">
        <v>38</v>
      </c>
      <c r="AX49" s="17" t="s">
        <v>38</v>
      </c>
      <c r="AY49" s="17" t="s">
        <v>38</v>
      </c>
      <c r="AZ49" s="17" t="s">
        <v>38</v>
      </c>
      <c r="BA49" s="17" t="s">
        <v>38</v>
      </c>
      <c r="BB49" s="17" t="s">
        <v>38</v>
      </c>
      <c r="BC49" s="17" t="s">
        <v>38</v>
      </c>
      <c r="BD49" s="20" t="s">
        <v>38</v>
      </c>
      <c r="BE49" s="20" t="s">
        <v>38</v>
      </c>
      <c r="BF49" s="20" t="s">
        <v>38</v>
      </c>
      <c r="BG49" s="20" t="s">
        <v>38</v>
      </c>
      <c r="BH49" s="20" t="s">
        <v>38</v>
      </c>
      <c r="BI49" s="20" t="s">
        <v>38</v>
      </c>
      <c r="BJ49" s="20" t="s">
        <v>38</v>
      </c>
      <c r="BK49" s="20" t="s">
        <v>38</v>
      </c>
      <c r="BL49" s="20" t="s">
        <v>38</v>
      </c>
      <c r="BM49" s="20" t="s">
        <v>38</v>
      </c>
      <c r="BN49" s="20" t="s">
        <v>38</v>
      </c>
      <c r="BO49" s="20" t="s">
        <v>38</v>
      </c>
      <c r="BP49" s="20" t="s">
        <v>38</v>
      </c>
      <c r="BQ49" s="20" t="s">
        <v>38</v>
      </c>
      <c r="BR49" s="20" t="s">
        <v>38</v>
      </c>
      <c r="BS49" s="20" t="s">
        <v>38</v>
      </c>
      <c r="BT49" s="20" t="s">
        <v>38</v>
      </c>
      <c r="BU49" s="20" t="s">
        <v>38</v>
      </c>
      <c r="BV49" s="20" t="s">
        <v>38</v>
      </c>
      <c r="BW49" s="20" t="s">
        <v>38</v>
      </c>
      <c r="BX49" s="20" t="s">
        <v>38</v>
      </c>
      <c r="BY49" s="85" t="s">
        <v>38</v>
      </c>
      <c r="BZ49" s="85" t="s">
        <v>38</v>
      </c>
      <c r="CA49" s="86" t="s">
        <v>38</v>
      </c>
    </row>
    <row r="50" spans="1:79">
      <c r="A50" s="29">
        <v>41</v>
      </c>
      <c r="B50" s="82">
        <v>254361.30648100001</v>
      </c>
      <c r="C50" s="82">
        <v>4505599.5975200003</v>
      </c>
      <c r="D50" s="20" t="s">
        <v>38</v>
      </c>
      <c r="E50" s="20" t="s">
        <v>38</v>
      </c>
      <c r="F50" s="20" t="s">
        <v>38</v>
      </c>
      <c r="G50" s="20" t="s">
        <v>38</v>
      </c>
      <c r="H50" s="20" t="s">
        <v>38</v>
      </c>
      <c r="I50" s="20" t="s">
        <v>38</v>
      </c>
      <c r="J50" s="20" t="s">
        <v>38</v>
      </c>
      <c r="K50" s="20" t="s">
        <v>38</v>
      </c>
      <c r="L50" s="20" t="s">
        <v>38</v>
      </c>
      <c r="M50" s="20" t="s">
        <v>38</v>
      </c>
      <c r="N50" s="20" t="s">
        <v>38</v>
      </c>
      <c r="O50" s="20" t="s">
        <v>38</v>
      </c>
      <c r="P50" s="20" t="s">
        <v>38</v>
      </c>
      <c r="Q50" s="20" t="s">
        <v>38</v>
      </c>
      <c r="R50" s="20" t="s">
        <v>38</v>
      </c>
      <c r="S50" s="20" t="s">
        <v>38</v>
      </c>
      <c r="T50" s="20" t="s">
        <v>38</v>
      </c>
      <c r="U50" s="20" t="s">
        <v>38</v>
      </c>
      <c r="V50" s="20" t="s">
        <v>38</v>
      </c>
      <c r="W50" s="20" t="s">
        <v>38</v>
      </c>
      <c r="X50" s="20" t="s">
        <v>38</v>
      </c>
      <c r="Y50" s="20" t="s">
        <v>38</v>
      </c>
      <c r="Z50" s="20" t="s">
        <v>38</v>
      </c>
      <c r="AA50" s="20" t="s">
        <v>38</v>
      </c>
      <c r="AB50" s="20" t="s">
        <v>38</v>
      </c>
      <c r="AC50" s="20" t="s">
        <v>38</v>
      </c>
      <c r="AD50" s="20" t="s">
        <v>38</v>
      </c>
      <c r="AE50" s="20" t="s">
        <v>38</v>
      </c>
      <c r="AF50" s="20" t="s">
        <v>38</v>
      </c>
      <c r="AG50" s="20" t="s">
        <v>38</v>
      </c>
      <c r="AH50" s="20" t="s">
        <v>38</v>
      </c>
      <c r="AI50" s="20" t="s">
        <v>38</v>
      </c>
      <c r="AJ50" s="20" t="s">
        <v>38</v>
      </c>
      <c r="AK50" s="20" t="s">
        <v>38</v>
      </c>
      <c r="AL50" s="20" t="s">
        <v>38</v>
      </c>
      <c r="AM50" s="20" t="s">
        <v>38</v>
      </c>
      <c r="AN50" s="20" t="s">
        <v>38</v>
      </c>
      <c r="AO50" s="20" t="s">
        <v>38</v>
      </c>
      <c r="AP50" s="20" t="s">
        <v>38</v>
      </c>
      <c r="AQ50" s="20" t="s">
        <v>38</v>
      </c>
      <c r="AR50" s="20" t="s">
        <v>38</v>
      </c>
      <c r="AS50" s="20" t="s">
        <v>38</v>
      </c>
      <c r="AT50" s="20" t="s">
        <v>38</v>
      </c>
      <c r="AU50" s="20" t="s">
        <v>38</v>
      </c>
      <c r="AV50" s="20" t="s">
        <v>38</v>
      </c>
      <c r="AW50" s="20" t="s">
        <v>38</v>
      </c>
      <c r="AX50" s="20" t="s">
        <v>38</v>
      </c>
      <c r="AY50" s="20" t="s">
        <v>38</v>
      </c>
      <c r="AZ50" s="20" t="s">
        <v>38</v>
      </c>
      <c r="BA50" s="20" t="s">
        <v>38</v>
      </c>
      <c r="BB50" s="20" t="s">
        <v>38</v>
      </c>
      <c r="BC50" s="20" t="s">
        <v>38</v>
      </c>
      <c r="BD50" s="20" t="s">
        <v>38</v>
      </c>
      <c r="BE50" s="20" t="s">
        <v>38</v>
      </c>
      <c r="BF50" s="20" t="s">
        <v>38</v>
      </c>
      <c r="BG50" s="20" t="s">
        <v>38</v>
      </c>
      <c r="BH50" s="20" t="s">
        <v>38</v>
      </c>
      <c r="BI50" s="20" t="s">
        <v>38</v>
      </c>
      <c r="BJ50" s="20" t="s">
        <v>38</v>
      </c>
      <c r="BK50" s="20" t="s">
        <v>38</v>
      </c>
      <c r="BL50" s="20" t="s">
        <v>38</v>
      </c>
      <c r="BM50" s="20" t="s">
        <v>38</v>
      </c>
      <c r="BN50" s="20" t="s">
        <v>38</v>
      </c>
      <c r="BO50" s="20" t="s">
        <v>38</v>
      </c>
      <c r="BP50" s="20" t="s">
        <v>38</v>
      </c>
      <c r="BQ50" s="20" t="s">
        <v>38</v>
      </c>
      <c r="BR50" s="20" t="s">
        <v>38</v>
      </c>
      <c r="BS50" s="20" t="s">
        <v>38</v>
      </c>
      <c r="BT50" s="20" t="s">
        <v>38</v>
      </c>
      <c r="BU50" s="20" t="s">
        <v>38</v>
      </c>
      <c r="BV50" s="20" t="s">
        <v>38</v>
      </c>
      <c r="BW50" s="20" t="s">
        <v>38</v>
      </c>
      <c r="BX50" s="20" t="s">
        <v>38</v>
      </c>
      <c r="BY50" s="61" t="s">
        <v>38</v>
      </c>
      <c r="BZ50" s="61" t="s">
        <v>38</v>
      </c>
      <c r="CA50" s="87" t="s">
        <v>38</v>
      </c>
    </row>
    <row r="51" spans="1:79">
      <c r="A51" s="29">
        <v>42</v>
      </c>
      <c r="B51" s="83">
        <v>254379.907389</v>
      </c>
      <c r="C51" s="83">
        <v>4505630.6267799996</v>
      </c>
      <c r="D51" s="20" t="s">
        <v>38</v>
      </c>
      <c r="E51" s="20" t="s">
        <v>38</v>
      </c>
      <c r="F51" s="20" t="s">
        <v>38</v>
      </c>
      <c r="G51" s="20" t="s">
        <v>38</v>
      </c>
      <c r="H51" s="20" t="s">
        <v>38</v>
      </c>
      <c r="I51" s="20" t="s">
        <v>38</v>
      </c>
      <c r="J51" s="20" t="s">
        <v>38</v>
      </c>
      <c r="K51" s="20" t="s">
        <v>38</v>
      </c>
      <c r="L51" s="20" t="s">
        <v>38</v>
      </c>
      <c r="M51" s="20" t="s">
        <v>38</v>
      </c>
      <c r="N51" s="20" t="s">
        <v>38</v>
      </c>
      <c r="O51" s="20" t="s">
        <v>38</v>
      </c>
      <c r="P51" s="20" t="s">
        <v>38</v>
      </c>
      <c r="Q51" s="20" t="s">
        <v>38</v>
      </c>
      <c r="R51" s="20" t="s">
        <v>38</v>
      </c>
      <c r="S51" s="20" t="s">
        <v>38</v>
      </c>
      <c r="T51" s="20" t="s">
        <v>38</v>
      </c>
      <c r="U51" s="20" t="s">
        <v>38</v>
      </c>
      <c r="V51" s="20" t="s">
        <v>38</v>
      </c>
      <c r="W51" s="20" t="s">
        <v>38</v>
      </c>
      <c r="X51" s="20" t="s">
        <v>38</v>
      </c>
      <c r="Y51" s="20" t="s">
        <v>38</v>
      </c>
      <c r="Z51" s="20" t="s">
        <v>38</v>
      </c>
      <c r="AA51" s="20" t="s">
        <v>38</v>
      </c>
      <c r="AB51" s="20" t="s">
        <v>38</v>
      </c>
      <c r="AC51" s="20" t="s">
        <v>38</v>
      </c>
      <c r="AD51" s="20" t="s">
        <v>38</v>
      </c>
      <c r="AE51" s="20" t="s">
        <v>38</v>
      </c>
      <c r="AF51" s="20" t="s">
        <v>38</v>
      </c>
      <c r="AG51" s="20" t="s">
        <v>38</v>
      </c>
      <c r="AH51" s="20" t="s">
        <v>38</v>
      </c>
      <c r="AI51" s="20" t="s">
        <v>38</v>
      </c>
      <c r="AJ51" s="20" t="s">
        <v>38</v>
      </c>
      <c r="AK51" s="20" t="s">
        <v>38</v>
      </c>
      <c r="AL51" s="20" t="s">
        <v>38</v>
      </c>
      <c r="AM51" s="20" t="s">
        <v>38</v>
      </c>
      <c r="AN51" s="20" t="s">
        <v>38</v>
      </c>
      <c r="AO51" s="20" t="s">
        <v>38</v>
      </c>
      <c r="AP51" s="20" t="s">
        <v>38</v>
      </c>
      <c r="AQ51" s="20" t="s">
        <v>38</v>
      </c>
      <c r="AR51" s="20" t="s">
        <v>38</v>
      </c>
      <c r="AS51" s="20" t="s">
        <v>38</v>
      </c>
      <c r="AT51" s="20" t="s">
        <v>38</v>
      </c>
      <c r="AU51" s="20" t="s">
        <v>38</v>
      </c>
      <c r="AV51" s="20" t="s">
        <v>38</v>
      </c>
      <c r="AW51" s="20" t="s">
        <v>38</v>
      </c>
      <c r="AX51" s="20" t="s">
        <v>38</v>
      </c>
      <c r="AY51" s="20" t="s">
        <v>38</v>
      </c>
      <c r="AZ51" s="20" t="s">
        <v>38</v>
      </c>
      <c r="BA51" s="20" t="s">
        <v>38</v>
      </c>
      <c r="BB51" s="20" t="s">
        <v>38</v>
      </c>
      <c r="BC51" s="20" t="s">
        <v>38</v>
      </c>
      <c r="BD51" s="20" t="s">
        <v>38</v>
      </c>
      <c r="BE51" s="20" t="s">
        <v>38</v>
      </c>
      <c r="BF51" s="20" t="s">
        <v>38</v>
      </c>
      <c r="BG51" s="20" t="s">
        <v>38</v>
      </c>
      <c r="BH51" s="20" t="s">
        <v>38</v>
      </c>
      <c r="BI51" s="20" t="s">
        <v>38</v>
      </c>
      <c r="BJ51" s="20" t="s">
        <v>38</v>
      </c>
      <c r="BK51" s="20" t="s">
        <v>38</v>
      </c>
      <c r="BL51" s="20" t="s">
        <v>38</v>
      </c>
      <c r="BM51" s="20" t="s">
        <v>38</v>
      </c>
      <c r="BN51" s="20" t="s">
        <v>38</v>
      </c>
      <c r="BO51" s="20" t="s">
        <v>38</v>
      </c>
      <c r="BP51" s="20" t="s">
        <v>38</v>
      </c>
      <c r="BQ51" s="20" t="s">
        <v>38</v>
      </c>
      <c r="BR51" s="20" t="s">
        <v>38</v>
      </c>
      <c r="BS51" s="20" t="s">
        <v>38</v>
      </c>
      <c r="BT51" s="20" t="s">
        <v>38</v>
      </c>
      <c r="BU51" s="20" t="s">
        <v>38</v>
      </c>
      <c r="BV51" s="20" t="s">
        <v>38</v>
      </c>
      <c r="BW51" s="20" t="s">
        <v>38</v>
      </c>
      <c r="BX51" s="20" t="s">
        <v>38</v>
      </c>
      <c r="BY51" s="61" t="s">
        <v>38</v>
      </c>
      <c r="BZ51" s="61" t="s">
        <v>38</v>
      </c>
      <c r="CA51" s="87" t="s">
        <v>38</v>
      </c>
    </row>
    <row r="52" spans="1:79">
      <c r="A52" s="29">
        <v>43</v>
      </c>
      <c r="B52" s="83">
        <v>254361.50803699999</v>
      </c>
      <c r="C52" s="83">
        <v>4505641.8651099997</v>
      </c>
      <c r="D52" s="20" t="s">
        <v>38</v>
      </c>
      <c r="E52" s="20" t="s">
        <v>38</v>
      </c>
      <c r="F52" s="20" t="s">
        <v>38</v>
      </c>
      <c r="G52" s="20" t="s">
        <v>38</v>
      </c>
      <c r="H52" s="20" t="s">
        <v>38</v>
      </c>
      <c r="I52" s="20" t="s">
        <v>38</v>
      </c>
      <c r="J52" s="20" t="s">
        <v>38</v>
      </c>
      <c r="K52" s="20" t="s">
        <v>38</v>
      </c>
      <c r="L52" s="20" t="s">
        <v>38</v>
      </c>
      <c r="M52" s="20" t="s">
        <v>38</v>
      </c>
      <c r="N52" s="20" t="s">
        <v>38</v>
      </c>
      <c r="O52" s="20" t="s">
        <v>38</v>
      </c>
      <c r="P52" s="20" t="s">
        <v>38</v>
      </c>
      <c r="Q52" s="20" t="s">
        <v>38</v>
      </c>
      <c r="R52" s="20" t="s">
        <v>38</v>
      </c>
      <c r="S52" s="20" t="s">
        <v>38</v>
      </c>
      <c r="T52" s="20" t="s">
        <v>38</v>
      </c>
      <c r="U52" s="20" t="s">
        <v>38</v>
      </c>
      <c r="V52" s="20" t="s">
        <v>38</v>
      </c>
      <c r="W52" s="20" t="s">
        <v>38</v>
      </c>
      <c r="X52" s="20" t="s">
        <v>38</v>
      </c>
      <c r="Y52" s="20" t="s">
        <v>38</v>
      </c>
      <c r="Z52" s="20" t="s">
        <v>38</v>
      </c>
      <c r="AA52" s="20" t="s">
        <v>38</v>
      </c>
      <c r="AB52" s="20" t="s">
        <v>38</v>
      </c>
      <c r="AC52" s="20" t="s">
        <v>38</v>
      </c>
      <c r="AD52" s="20" t="s">
        <v>38</v>
      </c>
      <c r="AE52" s="20" t="s">
        <v>38</v>
      </c>
      <c r="AF52" s="20" t="s">
        <v>38</v>
      </c>
      <c r="AG52" s="20" t="s">
        <v>38</v>
      </c>
      <c r="AH52" s="20" t="s">
        <v>38</v>
      </c>
      <c r="AI52" s="20" t="s">
        <v>38</v>
      </c>
      <c r="AJ52" s="20" t="s">
        <v>38</v>
      </c>
      <c r="AK52" s="20" t="s">
        <v>38</v>
      </c>
      <c r="AL52" s="20" t="s">
        <v>38</v>
      </c>
      <c r="AM52" s="20" t="s">
        <v>38</v>
      </c>
      <c r="AN52" s="20" t="s">
        <v>38</v>
      </c>
      <c r="AO52" s="20" t="s">
        <v>38</v>
      </c>
      <c r="AP52" s="20" t="s">
        <v>38</v>
      </c>
      <c r="AQ52" s="20" t="s">
        <v>38</v>
      </c>
      <c r="AR52" s="20" t="s">
        <v>38</v>
      </c>
      <c r="AS52" s="20" t="s">
        <v>38</v>
      </c>
      <c r="AT52" s="20" t="s">
        <v>38</v>
      </c>
      <c r="AU52" s="20" t="s">
        <v>38</v>
      </c>
      <c r="AV52" s="20" t="s">
        <v>38</v>
      </c>
      <c r="AW52" s="20" t="s">
        <v>38</v>
      </c>
      <c r="AX52" s="20" t="s">
        <v>38</v>
      </c>
      <c r="AY52" s="20" t="s">
        <v>38</v>
      </c>
      <c r="AZ52" s="20" t="s">
        <v>38</v>
      </c>
      <c r="BA52" s="20" t="s">
        <v>38</v>
      </c>
      <c r="BB52" s="20" t="s">
        <v>38</v>
      </c>
      <c r="BC52" s="20" t="s">
        <v>38</v>
      </c>
      <c r="BD52" s="20" t="s">
        <v>38</v>
      </c>
      <c r="BE52" s="20" t="s">
        <v>38</v>
      </c>
      <c r="BF52" s="20" t="s">
        <v>38</v>
      </c>
      <c r="BG52" s="20" t="s">
        <v>38</v>
      </c>
      <c r="BH52" s="20" t="s">
        <v>38</v>
      </c>
      <c r="BI52" s="20" t="s">
        <v>38</v>
      </c>
      <c r="BJ52" s="20" t="s">
        <v>38</v>
      </c>
      <c r="BK52" s="20" t="s">
        <v>38</v>
      </c>
      <c r="BL52" s="20" t="s">
        <v>38</v>
      </c>
      <c r="BM52" s="20" t="s">
        <v>38</v>
      </c>
      <c r="BN52" s="20" t="s">
        <v>38</v>
      </c>
      <c r="BO52" s="20" t="s">
        <v>38</v>
      </c>
      <c r="BP52" s="20" t="s">
        <v>38</v>
      </c>
      <c r="BQ52" s="20" t="s">
        <v>38</v>
      </c>
      <c r="BR52" s="20" t="s">
        <v>38</v>
      </c>
      <c r="BS52" s="20" t="s">
        <v>38</v>
      </c>
      <c r="BT52" s="20" t="s">
        <v>38</v>
      </c>
      <c r="BU52" s="20" t="s">
        <v>38</v>
      </c>
      <c r="BV52" s="20" t="s">
        <v>38</v>
      </c>
      <c r="BW52" s="20" t="s">
        <v>38</v>
      </c>
      <c r="BX52" s="20" t="s">
        <v>38</v>
      </c>
      <c r="BY52" s="61" t="s">
        <v>38</v>
      </c>
      <c r="BZ52" s="61" t="s">
        <v>38</v>
      </c>
      <c r="CA52" s="87" t="s">
        <v>38</v>
      </c>
    </row>
    <row r="53" spans="1:79">
      <c r="A53" s="29">
        <v>44</v>
      </c>
      <c r="B53" s="82">
        <v>254358.81478300001</v>
      </c>
      <c r="C53" s="82">
        <v>4505658.5760300001</v>
      </c>
      <c r="D53" s="20">
        <v>0.33500000000000002</v>
      </c>
      <c r="E53" s="20">
        <v>0.33150000000000002</v>
      </c>
      <c r="F53" s="20">
        <v>0.33</v>
      </c>
      <c r="G53" s="20">
        <v>0.33300000000000002</v>
      </c>
      <c r="H53" s="20">
        <v>0.29249999999999998</v>
      </c>
      <c r="I53" s="20">
        <v>0.29049999999999998</v>
      </c>
      <c r="J53" s="20">
        <v>0.27200000000000002</v>
      </c>
      <c r="K53" s="20">
        <v>0.253</v>
      </c>
      <c r="L53" s="20">
        <v>0.29249999999999998</v>
      </c>
      <c r="M53" s="20">
        <v>0.23949999999999999</v>
      </c>
      <c r="N53" s="16">
        <v>0.26200000000000001</v>
      </c>
      <c r="O53" s="16">
        <v>0.23499999999999999</v>
      </c>
      <c r="P53" s="16">
        <v>0.24</v>
      </c>
      <c r="Q53" s="16">
        <v>0.27900000000000003</v>
      </c>
      <c r="R53" s="16">
        <v>0.315</v>
      </c>
      <c r="S53" s="16">
        <v>0.29300000000000004</v>
      </c>
      <c r="T53" s="16">
        <v>0.39300000000000002</v>
      </c>
      <c r="U53" s="16">
        <v>0.32900000000000001</v>
      </c>
      <c r="V53" s="16">
        <v>0.38800000000000001</v>
      </c>
      <c r="W53" s="16">
        <v>0.41699999999999998</v>
      </c>
      <c r="X53" s="19">
        <v>0.38900000000000001</v>
      </c>
      <c r="Y53" s="7">
        <v>0.38600000000000001</v>
      </c>
      <c r="Z53" s="19">
        <v>0.39</v>
      </c>
      <c r="AA53" s="19">
        <v>0.38500000000000001</v>
      </c>
      <c r="AB53" s="19">
        <v>0.38</v>
      </c>
      <c r="AC53" s="7" t="s">
        <v>38</v>
      </c>
      <c r="AD53" s="24">
        <v>0.36399999999999999</v>
      </c>
      <c r="AE53" s="24">
        <v>0.33300000000000002</v>
      </c>
      <c r="AF53" s="24">
        <v>0.317</v>
      </c>
      <c r="AG53" s="24">
        <v>0.35099999999999998</v>
      </c>
      <c r="AH53" s="24">
        <v>0.24</v>
      </c>
      <c r="AI53" s="24">
        <v>0.33100000000000002</v>
      </c>
      <c r="AJ53" s="24">
        <v>0.29499999999999998</v>
      </c>
      <c r="AK53" s="24">
        <v>0.29099999999999998</v>
      </c>
      <c r="AL53" s="24" t="s">
        <v>38</v>
      </c>
      <c r="AM53" s="24">
        <v>0.39900000000000002</v>
      </c>
      <c r="AN53" s="51">
        <v>0.30299999999999999</v>
      </c>
      <c r="AO53" s="51">
        <v>0.251</v>
      </c>
      <c r="AP53" s="51">
        <v>0.316</v>
      </c>
      <c r="AQ53" s="51">
        <v>0.36399999999999999</v>
      </c>
      <c r="AR53" s="51">
        <v>0.314</v>
      </c>
      <c r="AS53" s="51">
        <v>0.3</v>
      </c>
      <c r="AT53" s="51">
        <v>0.31900000000000001</v>
      </c>
      <c r="AU53" s="51">
        <v>0.28499999999999998</v>
      </c>
      <c r="AV53" s="51">
        <v>0.29199999999999998</v>
      </c>
      <c r="AW53" s="51">
        <v>0.25600000000000001</v>
      </c>
      <c r="AX53" s="51">
        <v>0.25600000000000001</v>
      </c>
      <c r="AY53" s="51">
        <v>0.32</v>
      </c>
      <c r="AZ53" s="51">
        <v>0.312</v>
      </c>
      <c r="BA53" s="51">
        <v>0.29599999999999999</v>
      </c>
      <c r="BB53" s="52">
        <v>0.22850000000000001</v>
      </c>
      <c r="BC53" s="20" t="s">
        <v>38</v>
      </c>
      <c r="BD53" s="20" t="s">
        <v>38</v>
      </c>
      <c r="BE53" s="20" t="s">
        <v>38</v>
      </c>
      <c r="BF53" s="20" t="s">
        <v>38</v>
      </c>
      <c r="BG53" s="51">
        <v>0.39449999999999996</v>
      </c>
      <c r="BH53" s="38">
        <v>0.29899999999999999</v>
      </c>
      <c r="BI53" s="55" t="s">
        <v>38</v>
      </c>
      <c r="BJ53" s="38">
        <v>0.32</v>
      </c>
      <c r="BK53" s="38">
        <v>0.30549999999999999</v>
      </c>
      <c r="BL53" s="38">
        <v>0.30499999999999999</v>
      </c>
      <c r="BM53" s="38">
        <v>0.317</v>
      </c>
      <c r="BN53" s="51">
        <v>0.32050000000000001</v>
      </c>
      <c r="BO53" s="51">
        <v>0.32500000000000001</v>
      </c>
      <c r="BP53" s="38">
        <v>0.33450000000000002</v>
      </c>
      <c r="BQ53" s="38">
        <v>0.2515</v>
      </c>
      <c r="BR53" s="56">
        <v>0.27650000000000002</v>
      </c>
      <c r="BS53" s="56">
        <v>0.255</v>
      </c>
      <c r="BT53" s="56">
        <v>0.2505</v>
      </c>
      <c r="BU53" s="42">
        <v>0.26500000000000001</v>
      </c>
      <c r="BV53" s="56">
        <v>0.28100000000000003</v>
      </c>
      <c r="BW53" s="42">
        <v>0.32050000000000001</v>
      </c>
      <c r="BX53" s="42">
        <v>0.3085</v>
      </c>
      <c r="BY53" s="85">
        <f>(0.326+0.323)/2</f>
        <v>0.32450000000000001</v>
      </c>
      <c r="BZ53" s="85">
        <f>(0.412+0.446)/2</f>
        <v>0.42899999999999999</v>
      </c>
      <c r="CA53" s="87">
        <v>0.32600000000000001</v>
      </c>
    </row>
    <row r="54" spans="1:79">
      <c r="A54" s="29">
        <v>45</v>
      </c>
      <c r="B54" s="82">
        <v>254403.621078</v>
      </c>
      <c r="C54" s="82">
        <v>4505611.4397299998</v>
      </c>
      <c r="D54" s="20">
        <v>0.28050000000000003</v>
      </c>
      <c r="E54" s="20">
        <v>0.28949999999999998</v>
      </c>
      <c r="F54" s="20">
        <v>0.30599999999999999</v>
      </c>
      <c r="G54" s="20">
        <v>0.3085</v>
      </c>
      <c r="H54" s="20">
        <v>0.29399999999999998</v>
      </c>
      <c r="I54" s="20">
        <v>0.24099999999999999</v>
      </c>
      <c r="J54" s="20">
        <v>0.2185</v>
      </c>
      <c r="K54" s="20">
        <v>0.182</v>
      </c>
      <c r="L54" s="20">
        <v>0.189</v>
      </c>
      <c r="M54" s="20">
        <v>0.16300000000000001</v>
      </c>
      <c r="N54" s="16">
        <v>0.187</v>
      </c>
      <c r="O54" s="16">
        <v>0.17549999999999999</v>
      </c>
      <c r="P54" s="16">
        <v>0.17849999999999999</v>
      </c>
      <c r="Q54" s="16">
        <v>0.24249999999999999</v>
      </c>
      <c r="R54" s="16">
        <v>0.253</v>
      </c>
      <c r="S54" s="16">
        <v>0.26350000000000001</v>
      </c>
      <c r="T54" s="16">
        <v>0.33700000000000002</v>
      </c>
      <c r="U54" s="16">
        <v>0.315</v>
      </c>
      <c r="V54" s="16">
        <v>0.32400000000000001</v>
      </c>
      <c r="W54" s="16">
        <v>0.33500000000000002</v>
      </c>
      <c r="X54" s="19">
        <v>0.34200000000000003</v>
      </c>
      <c r="Y54" s="7">
        <v>0.34799999999999998</v>
      </c>
      <c r="Z54" s="19">
        <v>0.33900000000000002</v>
      </c>
      <c r="AA54" s="19">
        <v>0.33700000000000002</v>
      </c>
      <c r="AB54" s="19">
        <v>0.33900000000000002</v>
      </c>
      <c r="AC54" s="7">
        <v>0.34100000000000003</v>
      </c>
      <c r="AD54" s="24">
        <v>0.315</v>
      </c>
      <c r="AE54" s="24">
        <v>0.27800000000000002</v>
      </c>
      <c r="AF54" s="24">
        <v>0.22600000000000001</v>
      </c>
      <c r="AG54" s="24">
        <v>0.23300000000000001</v>
      </c>
      <c r="AH54" s="24">
        <v>0.20899999999999999</v>
      </c>
      <c r="AI54" s="24">
        <v>0.22</v>
      </c>
      <c r="AJ54" s="24">
        <v>0.19800000000000001</v>
      </c>
      <c r="AK54" s="24">
        <v>0.19800000000000001</v>
      </c>
      <c r="AL54" s="24" t="s">
        <v>38</v>
      </c>
      <c r="AM54" s="24">
        <v>0.378</v>
      </c>
      <c r="AN54" s="51">
        <v>0.28199999999999997</v>
      </c>
      <c r="AO54" s="51">
        <v>0.224</v>
      </c>
      <c r="AP54" s="51">
        <v>0.27100000000000002</v>
      </c>
      <c r="AQ54" s="51">
        <v>0.26400000000000001</v>
      </c>
      <c r="AR54" s="51">
        <v>0.246</v>
      </c>
      <c r="AS54" s="51">
        <v>0.22900000000000001</v>
      </c>
      <c r="AT54" s="51">
        <v>0.23499999999999999</v>
      </c>
      <c r="AU54" s="51">
        <v>0.215</v>
      </c>
      <c r="AV54" s="51">
        <v>0.21099999999999999</v>
      </c>
      <c r="AW54" s="51">
        <v>0.126</v>
      </c>
      <c r="AX54" s="51">
        <v>0.182</v>
      </c>
      <c r="AY54" s="51">
        <v>0.25800000000000001</v>
      </c>
      <c r="AZ54" s="51">
        <v>0.24399999999999999</v>
      </c>
      <c r="BA54" s="51">
        <v>0.26800000000000002</v>
      </c>
      <c r="BB54" s="52">
        <v>0.186</v>
      </c>
      <c r="BC54" s="51">
        <v>0.23150000000000001</v>
      </c>
      <c r="BD54" s="20" t="s">
        <v>38</v>
      </c>
      <c r="BE54" s="20" t="s">
        <v>38</v>
      </c>
      <c r="BF54" s="20" t="s">
        <v>38</v>
      </c>
      <c r="BG54" s="51">
        <v>0.29249999999999998</v>
      </c>
      <c r="BH54" s="38">
        <v>0.26</v>
      </c>
      <c r="BI54" s="38">
        <v>0.28234999999999999</v>
      </c>
      <c r="BJ54" s="38">
        <v>0.28749999999999998</v>
      </c>
      <c r="BK54" s="38">
        <v>0.27300000000000002</v>
      </c>
      <c r="BL54" s="38">
        <v>0.26750000000000002</v>
      </c>
      <c r="BM54" s="38">
        <v>0.28549999999999998</v>
      </c>
      <c r="BN54" s="51">
        <v>0.308</v>
      </c>
      <c r="BO54" s="51">
        <v>0.29449999999999998</v>
      </c>
      <c r="BP54" s="38">
        <v>0.27400000000000002</v>
      </c>
      <c r="BQ54" s="38">
        <v>0.216</v>
      </c>
      <c r="BR54" s="56">
        <v>0.214</v>
      </c>
      <c r="BS54" s="61" t="s">
        <v>38</v>
      </c>
      <c r="BT54" s="56">
        <v>0.21249999999999999</v>
      </c>
      <c r="BU54" s="42" t="s">
        <v>38</v>
      </c>
      <c r="BV54" s="56">
        <v>0.23599999999999999</v>
      </c>
      <c r="BW54" s="42">
        <v>0.224</v>
      </c>
      <c r="BX54" s="42">
        <v>0.22600000000000001</v>
      </c>
      <c r="BY54" s="85">
        <f>(0.318+0.299)/2</f>
        <v>0.3085</v>
      </c>
      <c r="BZ54" s="85">
        <f>(0.383+0.41)/2</f>
        <v>0.39649999999999996</v>
      </c>
      <c r="CA54" s="87">
        <v>0.30149999999999999</v>
      </c>
    </row>
    <row r="55" spans="1:79">
      <c r="A55" s="29">
        <v>46</v>
      </c>
      <c r="B55" s="82">
        <v>254407.499473</v>
      </c>
      <c r="C55" s="82">
        <v>4505609.5358499996</v>
      </c>
      <c r="D55" s="20" t="s">
        <v>38</v>
      </c>
      <c r="E55" s="20" t="s">
        <v>38</v>
      </c>
      <c r="F55" s="20" t="s">
        <v>38</v>
      </c>
      <c r="G55" s="20" t="s">
        <v>38</v>
      </c>
      <c r="H55" s="20" t="s">
        <v>38</v>
      </c>
      <c r="I55" s="20" t="s">
        <v>38</v>
      </c>
      <c r="J55" s="20" t="s">
        <v>38</v>
      </c>
      <c r="K55" s="20" t="s">
        <v>38</v>
      </c>
      <c r="L55" s="20" t="s">
        <v>38</v>
      </c>
      <c r="M55" s="20" t="s">
        <v>38</v>
      </c>
      <c r="N55" s="20" t="s">
        <v>38</v>
      </c>
      <c r="O55" s="20" t="s">
        <v>38</v>
      </c>
      <c r="P55" s="20" t="s">
        <v>38</v>
      </c>
      <c r="Q55" s="20" t="s">
        <v>38</v>
      </c>
      <c r="R55" s="20" t="s">
        <v>38</v>
      </c>
      <c r="S55" s="20" t="s">
        <v>38</v>
      </c>
      <c r="T55" s="20" t="s">
        <v>38</v>
      </c>
      <c r="U55" s="20" t="s">
        <v>38</v>
      </c>
      <c r="V55" s="20" t="s">
        <v>38</v>
      </c>
      <c r="W55" s="20" t="s">
        <v>38</v>
      </c>
      <c r="X55" s="20" t="s">
        <v>38</v>
      </c>
      <c r="Y55" s="20" t="s">
        <v>38</v>
      </c>
      <c r="Z55" s="20" t="s">
        <v>38</v>
      </c>
      <c r="AA55" s="20" t="s">
        <v>38</v>
      </c>
      <c r="AB55" s="20" t="s">
        <v>38</v>
      </c>
      <c r="AC55" s="20" t="s">
        <v>38</v>
      </c>
      <c r="AD55" s="20" t="s">
        <v>38</v>
      </c>
      <c r="AE55" s="20" t="s">
        <v>38</v>
      </c>
      <c r="AF55" s="20" t="s">
        <v>38</v>
      </c>
      <c r="AG55" s="20" t="s">
        <v>38</v>
      </c>
      <c r="AH55" s="20" t="s">
        <v>38</v>
      </c>
      <c r="AI55" s="20" t="s">
        <v>38</v>
      </c>
      <c r="AJ55" s="20" t="s">
        <v>38</v>
      </c>
      <c r="AK55" s="20" t="s">
        <v>38</v>
      </c>
      <c r="AL55" s="20" t="s">
        <v>38</v>
      </c>
      <c r="AM55" s="20" t="s">
        <v>38</v>
      </c>
      <c r="AN55" s="20" t="s">
        <v>38</v>
      </c>
      <c r="AO55" s="20" t="s">
        <v>38</v>
      </c>
      <c r="AP55" s="20" t="s">
        <v>38</v>
      </c>
      <c r="AQ55" s="20" t="s">
        <v>38</v>
      </c>
      <c r="AR55" s="20" t="s">
        <v>38</v>
      </c>
      <c r="AS55" s="20" t="s">
        <v>38</v>
      </c>
      <c r="AT55" s="20" t="s">
        <v>38</v>
      </c>
      <c r="AU55" s="20" t="s">
        <v>38</v>
      </c>
      <c r="AV55" s="20" t="s">
        <v>38</v>
      </c>
      <c r="AW55" s="20" t="s">
        <v>38</v>
      </c>
      <c r="AX55" s="20" t="s">
        <v>38</v>
      </c>
      <c r="AY55" s="20" t="s">
        <v>38</v>
      </c>
      <c r="AZ55" s="20" t="s">
        <v>38</v>
      </c>
      <c r="BA55" s="20" t="s">
        <v>38</v>
      </c>
      <c r="BB55" s="20" t="s">
        <v>38</v>
      </c>
      <c r="BC55" s="20" t="s">
        <v>38</v>
      </c>
      <c r="BD55" s="20" t="s">
        <v>38</v>
      </c>
      <c r="BE55" s="20" t="s">
        <v>38</v>
      </c>
      <c r="BF55" s="20" t="s">
        <v>38</v>
      </c>
      <c r="BG55" s="20" t="s">
        <v>38</v>
      </c>
      <c r="BH55" s="20" t="s">
        <v>38</v>
      </c>
      <c r="BI55" s="20" t="s">
        <v>38</v>
      </c>
      <c r="BJ55" s="20" t="s">
        <v>38</v>
      </c>
      <c r="BK55" s="20" t="s">
        <v>38</v>
      </c>
      <c r="BL55" s="20" t="s">
        <v>38</v>
      </c>
      <c r="BM55" s="20" t="s">
        <v>38</v>
      </c>
      <c r="BN55" s="20" t="s">
        <v>38</v>
      </c>
      <c r="BO55" s="20" t="s">
        <v>38</v>
      </c>
      <c r="BP55" s="20" t="s">
        <v>38</v>
      </c>
      <c r="BQ55" s="20" t="s">
        <v>38</v>
      </c>
      <c r="BR55" s="20" t="s">
        <v>38</v>
      </c>
      <c r="BS55" s="20" t="s">
        <v>38</v>
      </c>
      <c r="BT55" s="20" t="s">
        <v>38</v>
      </c>
      <c r="BU55" s="20" t="s">
        <v>38</v>
      </c>
      <c r="BV55" s="20" t="s">
        <v>38</v>
      </c>
      <c r="BW55" s="20" t="s">
        <v>38</v>
      </c>
      <c r="BX55" s="20" t="s">
        <v>38</v>
      </c>
      <c r="BY55" s="85" t="s">
        <v>38</v>
      </c>
      <c r="BZ55" s="85" t="s">
        <v>38</v>
      </c>
      <c r="CA55" s="87" t="s">
        <v>38</v>
      </c>
    </row>
    <row r="56" spans="1:79">
      <c r="A56" s="29">
        <v>47</v>
      </c>
      <c r="B56" s="82">
        <v>254415.342535</v>
      </c>
      <c r="C56" s="82">
        <v>4505592.7560700001</v>
      </c>
      <c r="D56" s="17">
        <v>0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  <c r="N56" s="17" t="s">
        <v>38</v>
      </c>
      <c r="O56" s="17" t="s">
        <v>38</v>
      </c>
      <c r="P56" s="17" t="s">
        <v>38</v>
      </c>
      <c r="Q56" s="17" t="s">
        <v>38</v>
      </c>
      <c r="R56" s="17" t="s">
        <v>38</v>
      </c>
      <c r="S56" s="17" t="s">
        <v>38</v>
      </c>
      <c r="T56" s="17" t="s">
        <v>38</v>
      </c>
      <c r="U56" s="17" t="s">
        <v>38</v>
      </c>
      <c r="V56" s="17" t="s">
        <v>38</v>
      </c>
      <c r="W56" s="17" t="s">
        <v>38</v>
      </c>
      <c r="X56" s="17" t="s">
        <v>38</v>
      </c>
      <c r="Y56" s="17" t="s">
        <v>38</v>
      </c>
      <c r="Z56" s="17" t="s">
        <v>38</v>
      </c>
      <c r="AA56" s="17" t="s">
        <v>38</v>
      </c>
      <c r="AB56" s="17" t="s">
        <v>38</v>
      </c>
      <c r="AC56" s="17" t="s">
        <v>38</v>
      </c>
      <c r="AD56" s="17" t="s">
        <v>38</v>
      </c>
      <c r="AE56" s="17" t="s">
        <v>38</v>
      </c>
      <c r="AF56" s="17" t="s">
        <v>38</v>
      </c>
      <c r="AG56" s="17" t="s">
        <v>38</v>
      </c>
      <c r="AH56" s="17" t="s">
        <v>38</v>
      </c>
      <c r="AI56" s="17" t="s">
        <v>38</v>
      </c>
      <c r="AJ56" s="17" t="s">
        <v>38</v>
      </c>
      <c r="AK56" s="17" t="s">
        <v>38</v>
      </c>
      <c r="AL56" s="17" t="s">
        <v>38</v>
      </c>
      <c r="AM56" s="17" t="s">
        <v>38</v>
      </c>
      <c r="AN56" s="17" t="s">
        <v>38</v>
      </c>
      <c r="AO56" s="17" t="s">
        <v>38</v>
      </c>
      <c r="AP56" s="17" t="s">
        <v>38</v>
      </c>
      <c r="AQ56" s="17" t="s">
        <v>38</v>
      </c>
      <c r="AR56" s="17" t="s">
        <v>38</v>
      </c>
      <c r="AS56" s="17" t="s">
        <v>38</v>
      </c>
      <c r="AT56" s="17" t="s">
        <v>38</v>
      </c>
      <c r="AU56" s="17" t="s">
        <v>38</v>
      </c>
      <c r="AV56" s="17" t="s">
        <v>38</v>
      </c>
      <c r="AW56" s="17" t="s">
        <v>38</v>
      </c>
      <c r="AX56" s="17" t="s">
        <v>38</v>
      </c>
      <c r="AY56" s="17" t="s">
        <v>38</v>
      </c>
      <c r="AZ56" s="17" t="s">
        <v>38</v>
      </c>
      <c r="BA56" s="17" t="s">
        <v>38</v>
      </c>
      <c r="BB56" s="17" t="s">
        <v>38</v>
      </c>
      <c r="BC56" s="17" t="s">
        <v>38</v>
      </c>
      <c r="BD56" s="17" t="s">
        <v>38</v>
      </c>
      <c r="BE56" s="17" t="s">
        <v>38</v>
      </c>
      <c r="BF56" s="17" t="s">
        <v>38</v>
      </c>
      <c r="BG56" s="17" t="s">
        <v>38</v>
      </c>
      <c r="BH56" s="17" t="s">
        <v>38</v>
      </c>
      <c r="BI56" s="17" t="s">
        <v>38</v>
      </c>
      <c r="BJ56" s="17" t="s">
        <v>38</v>
      </c>
      <c r="BK56" s="17" t="s">
        <v>38</v>
      </c>
      <c r="BL56" s="17" t="s">
        <v>38</v>
      </c>
      <c r="BM56" s="17" t="s">
        <v>38</v>
      </c>
      <c r="BN56" s="17" t="s">
        <v>38</v>
      </c>
      <c r="BO56" s="17" t="s">
        <v>38</v>
      </c>
      <c r="BP56" s="17" t="s">
        <v>38</v>
      </c>
      <c r="BQ56" s="17" t="s">
        <v>38</v>
      </c>
      <c r="BR56" s="17" t="s">
        <v>38</v>
      </c>
      <c r="BS56" s="17" t="s">
        <v>38</v>
      </c>
      <c r="BT56" s="17" t="s">
        <v>38</v>
      </c>
      <c r="BU56" s="17" t="s">
        <v>38</v>
      </c>
      <c r="BV56" s="17" t="s">
        <v>38</v>
      </c>
      <c r="BW56" s="17" t="s">
        <v>38</v>
      </c>
      <c r="BX56" s="17" t="s">
        <v>38</v>
      </c>
      <c r="BY56" s="65" t="s">
        <v>38</v>
      </c>
      <c r="BZ56" s="85" t="s">
        <v>38</v>
      </c>
      <c r="CA56" s="86" t="s">
        <v>38</v>
      </c>
    </row>
    <row r="57" spans="1:79">
      <c r="A57" s="29">
        <v>48</v>
      </c>
      <c r="B57" s="82">
        <v>254410.90681099999</v>
      </c>
      <c r="C57" s="82">
        <v>4505631.4095900003</v>
      </c>
      <c r="D57" s="20" t="s">
        <v>38</v>
      </c>
      <c r="E57" s="20" t="s">
        <v>38</v>
      </c>
      <c r="F57" s="20" t="s">
        <v>38</v>
      </c>
      <c r="G57" s="20" t="s">
        <v>38</v>
      </c>
      <c r="H57" s="20" t="s">
        <v>38</v>
      </c>
      <c r="I57" s="20" t="s">
        <v>38</v>
      </c>
      <c r="J57" s="20" t="s">
        <v>38</v>
      </c>
      <c r="K57" s="20" t="s">
        <v>38</v>
      </c>
      <c r="L57" s="20" t="s">
        <v>38</v>
      </c>
      <c r="M57" s="20" t="s">
        <v>38</v>
      </c>
      <c r="N57" s="20" t="s">
        <v>38</v>
      </c>
      <c r="O57" s="20" t="s">
        <v>38</v>
      </c>
      <c r="P57" s="20" t="s">
        <v>38</v>
      </c>
      <c r="Q57" s="20" t="s">
        <v>38</v>
      </c>
      <c r="R57" s="20" t="s">
        <v>38</v>
      </c>
      <c r="S57" s="20" t="s">
        <v>38</v>
      </c>
      <c r="T57" s="20" t="s">
        <v>38</v>
      </c>
      <c r="U57" s="20" t="s">
        <v>38</v>
      </c>
      <c r="V57" s="20" t="s">
        <v>38</v>
      </c>
      <c r="W57" s="20" t="s">
        <v>38</v>
      </c>
      <c r="X57" s="20" t="s">
        <v>38</v>
      </c>
      <c r="Y57" s="20" t="s">
        <v>38</v>
      </c>
      <c r="Z57" s="20" t="s">
        <v>38</v>
      </c>
      <c r="AA57" s="20" t="s">
        <v>38</v>
      </c>
      <c r="AB57" s="20" t="s">
        <v>38</v>
      </c>
      <c r="AC57" s="20" t="s">
        <v>38</v>
      </c>
      <c r="AD57" s="20" t="s">
        <v>38</v>
      </c>
      <c r="AE57" s="20" t="s">
        <v>38</v>
      </c>
      <c r="AF57" s="20" t="s">
        <v>38</v>
      </c>
      <c r="AG57" s="20" t="s">
        <v>38</v>
      </c>
      <c r="AH57" s="20" t="s">
        <v>38</v>
      </c>
      <c r="AI57" s="20" t="s">
        <v>38</v>
      </c>
      <c r="AJ57" s="20" t="s">
        <v>38</v>
      </c>
      <c r="AK57" s="20" t="s">
        <v>38</v>
      </c>
      <c r="AL57" s="20" t="s">
        <v>38</v>
      </c>
      <c r="AM57" s="20" t="s">
        <v>38</v>
      </c>
      <c r="AN57" s="20" t="s">
        <v>38</v>
      </c>
      <c r="AO57" s="20" t="s">
        <v>38</v>
      </c>
      <c r="AP57" s="20" t="s">
        <v>38</v>
      </c>
      <c r="AQ57" s="20" t="s">
        <v>38</v>
      </c>
      <c r="AR57" s="20" t="s">
        <v>38</v>
      </c>
      <c r="AS57" s="20" t="s">
        <v>38</v>
      </c>
      <c r="AT57" s="20" t="s">
        <v>38</v>
      </c>
      <c r="AU57" s="20" t="s">
        <v>38</v>
      </c>
      <c r="AV57" s="20" t="s">
        <v>38</v>
      </c>
      <c r="AW57" s="20" t="s">
        <v>38</v>
      </c>
      <c r="AX57" s="20" t="s">
        <v>38</v>
      </c>
      <c r="AY57" s="20" t="s">
        <v>38</v>
      </c>
      <c r="AZ57" s="20" t="s">
        <v>38</v>
      </c>
      <c r="BA57" s="20" t="s">
        <v>38</v>
      </c>
      <c r="BB57" s="20" t="s">
        <v>38</v>
      </c>
      <c r="BC57" s="20" t="s">
        <v>38</v>
      </c>
      <c r="BD57" s="20" t="s">
        <v>38</v>
      </c>
      <c r="BE57" s="20" t="s">
        <v>38</v>
      </c>
      <c r="BF57" s="20" t="s">
        <v>38</v>
      </c>
      <c r="BG57" s="20" t="s">
        <v>38</v>
      </c>
      <c r="BH57" s="20" t="s">
        <v>38</v>
      </c>
      <c r="BI57" s="20" t="s">
        <v>38</v>
      </c>
      <c r="BJ57" s="20" t="s">
        <v>38</v>
      </c>
      <c r="BK57" s="20" t="s">
        <v>38</v>
      </c>
      <c r="BL57" s="20" t="s">
        <v>38</v>
      </c>
      <c r="BM57" s="20" t="s">
        <v>38</v>
      </c>
      <c r="BN57" s="20" t="s">
        <v>38</v>
      </c>
      <c r="BO57" s="20" t="s">
        <v>38</v>
      </c>
      <c r="BP57" s="20" t="s">
        <v>38</v>
      </c>
      <c r="BQ57" s="20" t="s">
        <v>38</v>
      </c>
      <c r="BR57" s="20" t="s">
        <v>38</v>
      </c>
      <c r="BS57" s="20" t="s">
        <v>38</v>
      </c>
      <c r="BT57" s="20" t="s">
        <v>38</v>
      </c>
      <c r="BU57" s="20" t="s">
        <v>38</v>
      </c>
      <c r="BV57" s="20" t="s">
        <v>38</v>
      </c>
      <c r="BW57" s="20" t="s">
        <v>38</v>
      </c>
      <c r="BX57" s="20" t="s">
        <v>38</v>
      </c>
      <c r="BY57" s="61" t="s">
        <v>38</v>
      </c>
      <c r="BZ57" s="61" t="s">
        <v>38</v>
      </c>
      <c r="CA57" s="87" t="s">
        <v>38</v>
      </c>
    </row>
    <row r="58" spans="1:79">
      <c r="A58" s="29">
        <v>49</v>
      </c>
      <c r="B58" s="83">
        <v>254409.04055599999</v>
      </c>
      <c r="C58" s="83">
        <v>4505680.3762499997</v>
      </c>
      <c r="D58" s="20" t="s">
        <v>38</v>
      </c>
      <c r="E58" s="20" t="s">
        <v>38</v>
      </c>
      <c r="F58" s="20" t="s">
        <v>38</v>
      </c>
      <c r="G58" s="20" t="s">
        <v>38</v>
      </c>
      <c r="H58" s="20" t="s">
        <v>38</v>
      </c>
      <c r="I58" s="20" t="s">
        <v>38</v>
      </c>
      <c r="J58" s="20" t="s">
        <v>38</v>
      </c>
      <c r="K58" s="20" t="s">
        <v>38</v>
      </c>
      <c r="L58" s="20" t="s">
        <v>38</v>
      </c>
      <c r="M58" s="20" t="s">
        <v>38</v>
      </c>
      <c r="N58" s="20" t="s">
        <v>38</v>
      </c>
      <c r="O58" s="20" t="s">
        <v>38</v>
      </c>
      <c r="P58" s="20" t="s">
        <v>38</v>
      </c>
      <c r="Q58" s="20" t="s">
        <v>38</v>
      </c>
      <c r="R58" s="20" t="s">
        <v>38</v>
      </c>
      <c r="S58" s="20" t="s">
        <v>38</v>
      </c>
      <c r="T58" s="20" t="s">
        <v>38</v>
      </c>
      <c r="U58" s="20" t="s">
        <v>38</v>
      </c>
      <c r="V58" s="20" t="s">
        <v>38</v>
      </c>
      <c r="W58" s="20" t="s">
        <v>38</v>
      </c>
      <c r="X58" s="20" t="s">
        <v>38</v>
      </c>
      <c r="Y58" s="20" t="s">
        <v>38</v>
      </c>
      <c r="Z58" s="20" t="s">
        <v>38</v>
      </c>
      <c r="AA58" s="20" t="s">
        <v>38</v>
      </c>
      <c r="AB58" s="20" t="s">
        <v>38</v>
      </c>
      <c r="AC58" s="20" t="s">
        <v>38</v>
      </c>
      <c r="AD58" s="20" t="s">
        <v>38</v>
      </c>
      <c r="AE58" s="20" t="s">
        <v>38</v>
      </c>
      <c r="AF58" s="20" t="s">
        <v>38</v>
      </c>
      <c r="AG58" s="20" t="s">
        <v>38</v>
      </c>
      <c r="AH58" s="20" t="s">
        <v>38</v>
      </c>
      <c r="AI58" s="20" t="s">
        <v>38</v>
      </c>
      <c r="AJ58" s="20" t="s">
        <v>38</v>
      </c>
      <c r="AK58" s="20" t="s">
        <v>38</v>
      </c>
      <c r="AL58" s="20" t="s">
        <v>38</v>
      </c>
      <c r="AM58" s="20" t="s">
        <v>38</v>
      </c>
      <c r="AN58" s="20" t="s">
        <v>38</v>
      </c>
      <c r="AO58" s="20" t="s">
        <v>38</v>
      </c>
      <c r="AP58" s="20" t="s">
        <v>38</v>
      </c>
      <c r="AQ58" s="20" t="s">
        <v>38</v>
      </c>
      <c r="AR58" s="20" t="s">
        <v>38</v>
      </c>
      <c r="AS58" s="20" t="s">
        <v>38</v>
      </c>
      <c r="AT58" s="20" t="s">
        <v>38</v>
      </c>
      <c r="AU58" s="20" t="s">
        <v>38</v>
      </c>
      <c r="AV58" s="20" t="s">
        <v>38</v>
      </c>
      <c r="AW58" s="20" t="s">
        <v>38</v>
      </c>
      <c r="AX58" s="20" t="s">
        <v>38</v>
      </c>
      <c r="AY58" s="20" t="s">
        <v>38</v>
      </c>
      <c r="AZ58" s="20" t="s">
        <v>38</v>
      </c>
      <c r="BA58" s="20" t="s">
        <v>38</v>
      </c>
      <c r="BB58" s="20" t="s">
        <v>38</v>
      </c>
      <c r="BC58" s="20" t="s">
        <v>38</v>
      </c>
      <c r="BD58" s="20" t="s">
        <v>38</v>
      </c>
      <c r="BE58" s="20" t="s">
        <v>38</v>
      </c>
      <c r="BF58" s="20" t="s">
        <v>38</v>
      </c>
      <c r="BG58" s="20" t="s">
        <v>38</v>
      </c>
      <c r="BH58" s="20" t="s">
        <v>38</v>
      </c>
      <c r="BI58" s="20" t="s">
        <v>38</v>
      </c>
      <c r="BJ58" s="20" t="s">
        <v>38</v>
      </c>
      <c r="BK58" s="20" t="s">
        <v>38</v>
      </c>
      <c r="BL58" s="20" t="s">
        <v>38</v>
      </c>
      <c r="BM58" s="20" t="s">
        <v>38</v>
      </c>
      <c r="BN58" s="20" t="s">
        <v>38</v>
      </c>
      <c r="BO58" s="20" t="s">
        <v>38</v>
      </c>
      <c r="BP58" s="20" t="s">
        <v>38</v>
      </c>
      <c r="BQ58" s="20" t="s">
        <v>38</v>
      </c>
      <c r="BR58" s="20" t="s">
        <v>38</v>
      </c>
      <c r="BS58" s="20" t="s">
        <v>38</v>
      </c>
      <c r="BT58" s="20" t="s">
        <v>38</v>
      </c>
      <c r="BU58" s="20" t="s">
        <v>38</v>
      </c>
      <c r="BV58" s="20" t="s">
        <v>38</v>
      </c>
      <c r="BW58" s="20" t="s">
        <v>38</v>
      </c>
      <c r="BX58" s="20" t="s">
        <v>38</v>
      </c>
      <c r="BY58" s="61" t="s">
        <v>38</v>
      </c>
      <c r="BZ58" s="61" t="s">
        <v>38</v>
      </c>
      <c r="CA58" s="87" t="s">
        <v>38</v>
      </c>
    </row>
    <row r="59" spans="1:79">
      <c r="A59" s="29">
        <v>50</v>
      </c>
      <c r="B59" s="82">
        <v>254459.96109699999</v>
      </c>
      <c r="C59" s="82">
        <v>4505611.5409000004</v>
      </c>
      <c r="D59" s="20" t="s">
        <v>38</v>
      </c>
      <c r="E59" s="20" t="s">
        <v>38</v>
      </c>
      <c r="F59" s="20" t="s">
        <v>38</v>
      </c>
      <c r="G59" s="20" t="s">
        <v>38</v>
      </c>
      <c r="H59" s="20" t="s">
        <v>38</v>
      </c>
      <c r="I59" s="20" t="s">
        <v>38</v>
      </c>
      <c r="J59" s="20" t="s">
        <v>38</v>
      </c>
      <c r="K59" s="20" t="s">
        <v>38</v>
      </c>
      <c r="L59" s="20" t="s">
        <v>38</v>
      </c>
      <c r="M59" s="20" t="s">
        <v>38</v>
      </c>
      <c r="N59" s="20" t="s">
        <v>38</v>
      </c>
      <c r="O59" s="20" t="s">
        <v>38</v>
      </c>
      <c r="P59" s="20" t="s">
        <v>38</v>
      </c>
      <c r="Q59" s="20" t="s">
        <v>38</v>
      </c>
      <c r="R59" s="20" t="s">
        <v>38</v>
      </c>
      <c r="S59" s="20" t="s">
        <v>38</v>
      </c>
      <c r="T59" s="20" t="s">
        <v>38</v>
      </c>
      <c r="U59" s="20" t="s">
        <v>38</v>
      </c>
      <c r="V59" s="20" t="s">
        <v>38</v>
      </c>
      <c r="W59" s="20" t="s">
        <v>38</v>
      </c>
      <c r="X59" s="20" t="s">
        <v>38</v>
      </c>
      <c r="Y59" s="20" t="s">
        <v>38</v>
      </c>
      <c r="Z59" s="20" t="s">
        <v>38</v>
      </c>
      <c r="AA59" s="20" t="s">
        <v>38</v>
      </c>
      <c r="AB59" s="20" t="s">
        <v>38</v>
      </c>
      <c r="AC59" s="20" t="s">
        <v>38</v>
      </c>
      <c r="AD59" s="20" t="s">
        <v>38</v>
      </c>
      <c r="AE59" s="20" t="s">
        <v>38</v>
      </c>
      <c r="AF59" s="20" t="s">
        <v>38</v>
      </c>
      <c r="AG59" s="20" t="s">
        <v>38</v>
      </c>
      <c r="AH59" s="20" t="s">
        <v>38</v>
      </c>
      <c r="AI59" s="20" t="s">
        <v>38</v>
      </c>
      <c r="AJ59" s="20" t="s">
        <v>38</v>
      </c>
      <c r="AK59" s="20" t="s">
        <v>38</v>
      </c>
      <c r="AL59" s="20" t="s">
        <v>38</v>
      </c>
      <c r="AM59" s="20" t="s">
        <v>38</v>
      </c>
      <c r="AN59" s="20" t="s">
        <v>38</v>
      </c>
      <c r="AO59" s="51">
        <v>0.215</v>
      </c>
      <c r="AP59" s="20" t="s">
        <v>38</v>
      </c>
      <c r="AQ59" s="20" t="s">
        <v>38</v>
      </c>
      <c r="AR59" s="20" t="s">
        <v>38</v>
      </c>
      <c r="AS59" s="51">
        <v>0.22500000000000001</v>
      </c>
      <c r="AT59" s="20" t="s">
        <v>38</v>
      </c>
      <c r="AU59" s="51">
        <v>0.24399999999999999</v>
      </c>
      <c r="AV59" s="20" t="s">
        <v>38</v>
      </c>
      <c r="AW59" s="20" t="s">
        <v>38</v>
      </c>
      <c r="AX59" s="51">
        <v>0.20699999999999999</v>
      </c>
      <c r="AY59" s="20" t="s">
        <v>38</v>
      </c>
      <c r="AZ59" s="20" t="s">
        <v>38</v>
      </c>
      <c r="BA59" s="20" t="s">
        <v>38</v>
      </c>
      <c r="BB59" s="20" t="s">
        <v>38</v>
      </c>
      <c r="BC59" s="20" t="s">
        <v>38</v>
      </c>
      <c r="BD59" s="20" t="s">
        <v>38</v>
      </c>
      <c r="BE59" s="20" t="s">
        <v>38</v>
      </c>
      <c r="BF59" s="20" t="s">
        <v>38</v>
      </c>
      <c r="BG59" s="51">
        <v>0.30499999999999999</v>
      </c>
      <c r="BH59" s="20" t="s">
        <v>38</v>
      </c>
      <c r="BI59" s="20" t="s">
        <v>38</v>
      </c>
      <c r="BJ59" s="20" t="s">
        <v>38</v>
      </c>
      <c r="BK59" s="20" t="s">
        <v>38</v>
      </c>
      <c r="BL59" s="20" t="s">
        <v>38</v>
      </c>
      <c r="BM59" s="20" t="s">
        <v>38</v>
      </c>
      <c r="BN59" s="20" t="s">
        <v>38</v>
      </c>
      <c r="BO59" s="20" t="s">
        <v>38</v>
      </c>
      <c r="BP59" s="20" t="s">
        <v>38</v>
      </c>
      <c r="BQ59" s="20" t="s">
        <v>38</v>
      </c>
      <c r="BR59" s="20" t="s">
        <v>38</v>
      </c>
      <c r="BS59" s="20" t="s">
        <v>38</v>
      </c>
      <c r="BT59" s="20" t="s">
        <v>38</v>
      </c>
      <c r="BU59" s="20" t="s">
        <v>38</v>
      </c>
      <c r="BV59" s="20" t="s">
        <v>38</v>
      </c>
      <c r="BW59" s="20" t="s">
        <v>38</v>
      </c>
      <c r="BX59" s="20" t="s">
        <v>38</v>
      </c>
      <c r="BY59" s="61" t="s">
        <v>38</v>
      </c>
      <c r="BZ59" s="61" t="s">
        <v>38</v>
      </c>
      <c r="CA59" s="87" t="s">
        <v>38</v>
      </c>
    </row>
    <row r="60" spans="1:79">
      <c r="A60" s="29">
        <v>51</v>
      </c>
      <c r="B60" s="82">
        <v>254457.91333000001</v>
      </c>
      <c r="C60" s="82">
        <v>4505621.1563900001</v>
      </c>
      <c r="D60" s="20">
        <v>0.28349999999999997</v>
      </c>
      <c r="E60" s="20">
        <v>0.26650000000000001</v>
      </c>
      <c r="F60" s="20" t="s">
        <v>38</v>
      </c>
      <c r="G60" s="20">
        <v>0.28049999999999997</v>
      </c>
      <c r="H60" s="20">
        <v>0.27400000000000002</v>
      </c>
      <c r="I60" s="20">
        <v>0.252</v>
      </c>
      <c r="J60" s="20">
        <v>0.2195</v>
      </c>
      <c r="K60" s="20">
        <v>0.18049999999999999</v>
      </c>
      <c r="L60" s="20" t="s">
        <v>38</v>
      </c>
      <c r="M60" s="20" t="s">
        <v>38</v>
      </c>
      <c r="N60" s="20" t="s">
        <v>38</v>
      </c>
      <c r="O60" s="20" t="s">
        <v>38</v>
      </c>
      <c r="P60" s="20" t="s">
        <v>38</v>
      </c>
      <c r="Q60" s="20" t="s">
        <v>38</v>
      </c>
      <c r="R60" s="20" t="s">
        <v>38</v>
      </c>
      <c r="S60" s="20" t="s">
        <v>38</v>
      </c>
      <c r="T60" s="23">
        <v>0.28499999999999998</v>
      </c>
      <c r="U60" s="23">
        <v>0.29599999999999999</v>
      </c>
      <c r="V60" s="20" t="s">
        <v>38</v>
      </c>
      <c r="W60" s="23">
        <v>0.32100000000000001</v>
      </c>
      <c r="X60" s="19">
        <v>0.31</v>
      </c>
      <c r="Y60" s="7">
        <v>0.32700000000000001</v>
      </c>
      <c r="Z60" s="19">
        <v>0.309</v>
      </c>
      <c r="AA60" s="19">
        <v>0.312</v>
      </c>
      <c r="AB60" s="19">
        <v>0.318</v>
      </c>
      <c r="AC60" s="7">
        <v>0.30199999999999999</v>
      </c>
      <c r="AD60" s="24">
        <v>0.29599999999999999</v>
      </c>
      <c r="AE60" s="24">
        <v>0.27200000000000002</v>
      </c>
      <c r="AF60" s="24">
        <v>0.26300000000000001</v>
      </c>
      <c r="AG60" s="24">
        <v>0.214</v>
      </c>
      <c r="AH60" s="24">
        <v>0.24099999999999999</v>
      </c>
      <c r="AI60" s="24">
        <v>0.20200000000000001</v>
      </c>
      <c r="AJ60" s="24">
        <v>0.217</v>
      </c>
      <c r="AK60" s="24">
        <v>0.20899999999999999</v>
      </c>
      <c r="AL60" s="24">
        <v>0.23300000000000001</v>
      </c>
      <c r="AM60" s="24">
        <v>0.33500000000000002</v>
      </c>
      <c r="AN60" s="51">
        <v>0.247</v>
      </c>
      <c r="AO60" s="51">
        <v>0.21199999999999999</v>
      </c>
      <c r="AP60" s="51">
        <v>0.26100000000000001</v>
      </c>
      <c r="AQ60" s="51">
        <v>0.26300000000000001</v>
      </c>
      <c r="AR60" s="51">
        <v>0.247</v>
      </c>
      <c r="AS60" s="51">
        <v>0.223</v>
      </c>
      <c r="AT60" s="51">
        <v>0.27200000000000002</v>
      </c>
      <c r="AU60" s="51">
        <v>0.223</v>
      </c>
      <c r="AV60" s="51">
        <v>0.214</v>
      </c>
      <c r="AW60" s="51">
        <v>0.192</v>
      </c>
      <c r="AX60" s="51">
        <v>0.193</v>
      </c>
      <c r="AY60" s="51">
        <v>0.27400000000000002</v>
      </c>
      <c r="AZ60" s="51">
        <v>0.245</v>
      </c>
      <c r="BA60" s="51">
        <v>0.26900000000000002</v>
      </c>
      <c r="BB60" s="52">
        <v>0.2145</v>
      </c>
      <c r="BC60" s="51">
        <v>0.2505</v>
      </c>
      <c r="BD60" s="62">
        <v>0.29549999999999998</v>
      </c>
      <c r="BE60" s="53">
        <v>0.27849999999999997</v>
      </c>
      <c r="BF60" s="53">
        <v>0.20350000000000001</v>
      </c>
      <c r="BG60" s="51">
        <v>0.3</v>
      </c>
      <c r="BH60" s="38">
        <v>0.25800000000000001</v>
      </c>
      <c r="BI60" s="38">
        <v>0.26600000000000001</v>
      </c>
      <c r="BJ60" s="38">
        <v>0.27100000000000002</v>
      </c>
      <c r="BK60" s="38">
        <v>0.26600000000000001</v>
      </c>
      <c r="BL60" s="38">
        <v>0.27150000000000002</v>
      </c>
      <c r="BM60" s="38">
        <v>0.27850000000000003</v>
      </c>
      <c r="BN60" s="51">
        <v>0.28649999999999998</v>
      </c>
      <c r="BO60" s="51">
        <v>0.28300000000000003</v>
      </c>
      <c r="BP60" s="38">
        <v>0.27250000000000002</v>
      </c>
      <c r="BQ60" s="38">
        <v>0.21049999999999999</v>
      </c>
      <c r="BR60" s="56">
        <v>0.21149999999999999</v>
      </c>
      <c r="BS60" s="56">
        <v>0.20649999999999999</v>
      </c>
      <c r="BT60" s="56">
        <v>0.19650000000000001</v>
      </c>
      <c r="BU60" s="42">
        <v>0.2195</v>
      </c>
      <c r="BV60" s="56">
        <v>0.2</v>
      </c>
      <c r="BW60" s="20" t="s">
        <v>38</v>
      </c>
      <c r="BX60" s="20" t="s">
        <v>38</v>
      </c>
      <c r="BY60" s="85">
        <f>(0.3+0.29)/2</f>
        <v>0.29499999999999998</v>
      </c>
      <c r="BZ60" s="85">
        <f>(0.357+0.383)/2</f>
        <v>0.37</v>
      </c>
      <c r="CA60" s="87">
        <v>0.29199999999999998</v>
      </c>
    </row>
    <row r="61" spans="1:79">
      <c r="A61" s="29" t="s">
        <v>14</v>
      </c>
      <c r="B61" s="82">
        <v>254459.08399399999</v>
      </c>
      <c r="C61" s="82">
        <v>4505622.0498400005</v>
      </c>
      <c r="D61" s="20">
        <v>0.28299999999999997</v>
      </c>
      <c r="E61" s="20">
        <v>0.27600000000000002</v>
      </c>
      <c r="F61" s="20">
        <v>0.28499999999999998</v>
      </c>
      <c r="G61" s="20">
        <v>0.28799999999999998</v>
      </c>
      <c r="H61" s="20">
        <v>0.26650000000000001</v>
      </c>
      <c r="I61" s="20">
        <v>0.20850000000000002</v>
      </c>
      <c r="J61" s="20">
        <v>0.18149999999999999</v>
      </c>
      <c r="K61" s="20">
        <v>0.16200000000000001</v>
      </c>
      <c r="L61" s="20">
        <v>0.17249999999999999</v>
      </c>
      <c r="M61" s="20">
        <v>0.14550000000000002</v>
      </c>
      <c r="N61" s="16">
        <v>0.19650000000000001</v>
      </c>
      <c r="O61" s="16">
        <v>0.1605</v>
      </c>
      <c r="P61" s="16">
        <v>0.16599999999999998</v>
      </c>
      <c r="Q61" s="16">
        <v>0.19950000000000001</v>
      </c>
      <c r="R61" s="16">
        <v>0.20550000000000002</v>
      </c>
      <c r="S61" s="16">
        <v>0.19400000000000001</v>
      </c>
      <c r="T61" s="16">
        <v>0.28000000000000003</v>
      </c>
      <c r="U61" s="16">
        <v>0.30399999999999999</v>
      </c>
      <c r="V61" s="20" t="s">
        <v>38</v>
      </c>
      <c r="W61" s="16">
        <v>0.32500000000000001</v>
      </c>
      <c r="X61" s="19">
        <v>0.29799999999999999</v>
      </c>
      <c r="Y61" s="7" t="s">
        <v>38</v>
      </c>
      <c r="Z61" s="19">
        <v>0.33100000000000002</v>
      </c>
      <c r="AA61" s="19">
        <v>0.33200000000000002</v>
      </c>
      <c r="AB61" s="19" t="s">
        <v>38</v>
      </c>
      <c r="AC61" s="7">
        <v>0.311</v>
      </c>
      <c r="AD61" s="24">
        <v>0.28599999999999998</v>
      </c>
      <c r="AE61" s="24" t="s">
        <v>38</v>
      </c>
      <c r="AF61" s="24">
        <v>0.19900000000000001</v>
      </c>
      <c r="AG61" s="24">
        <v>0.192</v>
      </c>
      <c r="AH61" s="24">
        <v>0.19900000000000001</v>
      </c>
      <c r="AI61" s="24" t="s">
        <v>38</v>
      </c>
      <c r="AJ61" s="24" t="s">
        <v>38</v>
      </c>
      <c r="AK61" s="24">
        <v>0.184</v>
      </c>
      <c r="AL61" s="24">
        <v>0.23599999999999999</v>
      </c>
      <c r="AM61" s="24">
        <v>0.30399999999999999</v>
      </c>
      <c r="AN61" s="51">
        <v>0.23200000000000001</v>
      </c>
      <c r="AO61" s="51" t="s">
        <v>38</v>
      </c>
      <c r="AP61" s="51" t="s">
        <v>38</v>
      </c>
      <c r="AQ61" s="51">
        <v>0.21</v>
      </c>
      <c r="AR61" s="51" t="s">
        <v>38</v>
      </c>
      <c r="AS61" s="51">
        <v>0.223</v>
      </c>
      <c r="AT61" s="51" t="s">
        <v>38</v>
      </c>
      <c r="AU61" s="51">
        <v>0.187</v>
      </c>
      <c r="AV61" s="51" t="s">
        <v>38</v>
      </c>
      <c r="AW61" s="51" t="s">
        <v>38</v>
      </c>
      <c r="AX61" s="51" t="s">
        <v>38</v>
      </c>
      <c r="AY61" s="55">
        <v>0.19500000000000001</v>
      </c>
      <c r="AZ61" s="55">
        <v>0.20300000000000001</v>
      </c>
      <c r="BA61" s="51">
        <v>0.20399999999999999</v>
      </c>
      <c r="BB61" s="52">
        <v>0.161</v>
      </c>
      <c r="BC61" s="51">
        <v>0.20050000000000001</v>
      </c>
      <c r="BD61" s="62">
        <v>0.23299999999999998</v>
      </c>
      <c r="BE61" s="53">
        <v>0.222</v>
      </c>
      <c r="BF61" s="53">
        <v>0.1615</v>
      </c>
      <c r="BG61" s="51">
        <v>0.26350000000000001</v>
      </c>
      <c r="BH61" s="38" t="s">
        <v>38</v>
      </c>
      <c r="BI61" s="38" t="s">
        <v>38</v>
      </c>
      <c r="BJ61" s="38" t="s">
        <v>38</v>
      </c>
      <c r="BK61" s="38">
        <v>0.2535</v>
      </c>
      <c r="BL61" s="38" t="s">
        <v>38</v>
      </c>
      <c r="BM61" s="38" t="s">
        <v>38</v>
      </c>
      <c r="BN61" s="55" t="s">
        <v>38</v>
      </c>
      <c r="BO61" s="51" t="s">
        <v>38</v>
      </c>
      <c r="BP61" s="38" t="s">
        <v>38</v>
      </c>
      <c r="BQ61" s="38">
        <v>0.17849999999999999</v>
      </c>
      <c r="BR61" s="56">
        <v>0.17799999999999999</v>
      </c>
      <c r="BS61" s="56">
        <v>0.17949999999999999</v>
      </c>
      <c r="BT61" s="56">
        <v>0.17199999999999999</v>
      </c>
      <c r="BU61" s="42">
        <v>0.16350000000000001</v>
      </c>
      <c r="BV61" s="56" t="s">
        <v>38</v>
      </c>
      <c r="BW61" s="42">
        <v>0.1895</v>
      </c>
      <c r="BX61" s="20" t="s">
        <v>38</v>
      </c>
      <c r="BY61" s="85">
        <f>(0.283+0.277)/2</f>
        <v>0.28000000000000003</v>
      </c>
      <c r="BZ61" s="85">
        <f>(0.343+0.36)/2</f>
        <v>0.35150000000000003</v>
      </c>
      <c r="CA61" s="87">
        <v>0.28199999999999997</v>
      </c>
    </row>
    <row r="62" spans="1:79">
      <c r="A62" s="29" t="s">
        <v>15</v>
      </c>
      <c r="B62" s="82">
        <v>254458.677084</v>
      </c>
      <c r="C62" s="82">
        <v>4505620.2194800004</v>
      </c>
      <c r="D62" s="20">
        <v>0.26700000000000002</v>
      </c>
      <c r="E62" s="20">
        <v>0.26200000000000001</v>
      </c>
      <c r="F62" s="20">
        <v>0.28499999999999998</v>
      </c>
      <c r="G62" s="20">
        <v>0.29849999999999999</v>
      </c>
      <c r="H62" s="20">
        <v>0.28100000000000003</v>
      </c>
      <c r="I62" s="20">
        <v>0.2535</v>
      </c>
      <c r="J62" s="20">
        <v>0.21249999999999999</v>
      </c>
      <c r="K62" s="20">
        <v>0.17499999999999999</v>
      </c>
      <c r="L62" s="20">
        <v>0.224</v>
      </c>
      <c r="M62" s="20">
        <v>0.157</v>
      </c>
      <c r="N62" s="16">
        <v>0.17849999999999999</v>
      </c>
      <c r="O62" s="16">
        <v>0.1585</v>
      </c>
      <c r="P62" s="20" t="s">
        <v>38</v>
      </c>
      <c r="Q62" s="16">
        <v>0.2505</v>
      </c>
      <c r="R62" s="20" t="s">
        <v>38</v>
      </c>
      <c r="S62" s="20" t="s">
        <v>38</v>
      </c>
      <c r="T62" s="16">
        <v>0.29099999999999998</v>
      </c>
      <c r="U62" s="16">
        <v>0.29399999999999998</v>
      </c>
      <c r="V62" s="20" t="s">
        <v>38</v>
      </c>
      <c r="W62" s="16">
        <v>0.34699999999999998</v>
      </c>
      <c r="X62" s="19">
        <v>0.29499999999999998</v>
      </c>
      <c r="Y62" s="7" t="s">
        <v>38</v>
      </c>
      <c r="Z62" s="19">
        <v>0.31900000000000001</v>
      </c>
      <c r="AA62" s="19">
        <v>0.32500000000000001</v>
      </c>
      <c r="AB62" s="19" t="s">
        <v>38</v>
      </c>
      <c r="AC62" s="7">
        <v>0.32</v>
      </c>
      <c r="AD62" s="24">
        <v>0.30599999999999999</v>
      </c>
      <c r="AE62" s="24" t="s">
        <v>38</v>
      </c>
      <c r="AF62" s="24">
        <v>0.222</v>
      </c>
      <c r="AG62" s="24">
        <v>0.21299999999999999</v>
      </c>
      <c r="AH62" s="24">
        <v>0.182</v>
      </c>
      <c r="AI62" s="24" t="s">
        <v>38</v>
      </c>
      <c r="AJ62" s="24" t="s">
        <v>38</v>
      </c>
      <c r="AK62" s="24">
        <v>0.17899999999999999</v>
      </c>
      <c r="AL62" s="24">
        <v>0.25</v>
      </c>
      <c r="AM62" s="24">
        <v>0.31</v>
      </c>
      <c r="AN62" s="51">
        <v>0.26400000000000001</v>
      </c>
      <c r="AO62" s="51" t="s">
        <v>38</v>
      </c>
      <c r="AP62" s="51" t="s">
        <v>38</v>
      </c>
      <c r="AQ62" s="51">
        <v>0.24299999999999999</v>
      </c>
      <c r="AR62" s="51" t="s">
        <v>38</v>
      </c>
      <c r="AS62" s="51">
        <v>0.20699999999999999</v>
      </c>
      <c r="AT62" s="51" t="s">
        <v>38</v>
      </c>
      <c r="AU62" s="51">
        <v>0.19800000000000001</v>
      </c>
      <c r="AV62" s="51" t="s">
        <v>38</v>
      </c>
      <c r="AW62" s="51" t="s">
        <v>38</v>
      </c>
      <c r="AX62" s="51" t="s">
        <v>38</v>
      </c>
      <c r="AY62" s="51">
        <v>0.29799999999999999</v>
      </c>
      <c r="AZ62" s="51">
        <v>0.27900000000000003</v>
      </c>
      <c r="BA62" s="51">
        <v>0.28899999999999998</v>
      </c>
      <c r="BB62" s="52">
        <v>0.2155</v>
      </c>
      <c r="BC62" s="51">
        <v>0.2205</v>
      </c>
      <c r="BD62" s="62">
        <v>0.3175</v>
      </c>
      <c r="BE62" s="53">
        <v>0.29449999999999998</v>
      </c>
      <c r="BF62" s="53">
        <v>0.23449999999999999</v>
      </c>
      <c r="BG62" s="51">
        <v>0.29149999999999998</v>
      </c>
      <c r="BH62" s="38" t="s">
        <v>38</v>
      </c>
      <c r="BI62" s="38" t="s">
        <v>38</v>
      </c>
      <c r="BJ62" s="38" t="s">
        <v>38</v>
      </c>
      <c r="BK62" s="38">
        <v>0.28499999999999998</v>
      </c>
      <c r="BL62" s="38" t="s">
        <v>38</v>
      </c>
      <c r="BM62" s="38" t="s">
        <v>38</v>
      </c>
      <c r="BN62" s="55" t="s">
        <v>38</v>
      </c>
      <c r="BO62" s="51" t="s">
        <v>38</v>
      </c>
      <c r="BP62" s="38" t="s">
        <v>38</v>
      </c>
      <c r="BQ62" s="38">
        <v>0.21199999999999999</v>
      </c>
      <c r="BR62" s="56">
        <v>0.20150000000000001</v>
      </c>
      <c r="BS62" s="56">
        <v>0.20200000000000001</v>
      </c>
      <c r="BT62" s="56">
        <v>0.19650000000000001</v>
      </c>
      <c r="BU62" s="42">
        <v>0.247</v>
      </c>
      <c r="BV62" s="56" t="s">
        <v>38</v>
      </c>
      <c r="BW62" s="42" t="s">
        <v>38</v>
      </c>
      <c r="BX62" s="20" t="s">
        <v>38</v>
      </c>
      <c r="BY62" s="85">
        <f>(0.296+0.313)/2</f>
        <v>0.30449999999999999</v>
      </c>
      <c r="BZ62" s="85">
        <f>(0.43+0.41)/2</f>
        <v>0.42</v>
      </c>
      <c r="CA62" s="87">
        <v>0.3075</v>
      </c>
    </row>
    <row r="63" spans="1:79">
      <c r="A63" s="29" t="s">
        <v>16</v>
      </c>
      <c r="B63" s="82">
        <v>254456.72850500001</v>
      </c>
      <c r="C63" s="82">
        <v>4505620.3603600003</v>
      </c>
      <c r="D63" s="20">
        <v>0.27200000000000002</v>
      </c>
      <c r="E63" s="20">
        <v>0.27150000000000002</v>
      </c>
      <c r="F63" s="20">
        <v>0.28699999999999998</v>
      </c>
      <c r="G63" s="20">
        <v>0.27549999999999997</v>
      </c>
      <c r="H63" s="20">
        <v>0.27050000000000002</v>
      </c>
      <c r="I63" s="20">
        <v>0.23</v>
      </c>
      <c r="J63" s="20">
        <v>0.20600000000000002</v>
      </c>
      <c r="K63" s="20">
        <v>0.16799999999999998</v>
      </c>
      <c r="L63" s="20">
        <v>0.1915</v>
      </c>
      <c r="M63" s="20">
        <v>0.16450000000000001</v>
      </c>
      <c r="N63" s="16">
        <v>0.17849999999999999</v>
      </c>
      <c r="O63" s="16">
        <v>0.16</v>
      </c>
      <c r="P63" s="20" t="s">
        <v>38</v>
      </c>
      <c r="Q63" s="16">
        <v>0.2165</v>
      </c>
      <c r="R63" s="20" t="s">
        <v>38</v>
      </c>
      <c r="S63" s="20" t="s">
        <v>38</v>
      </c>
      <c r="T63" s="16">
        <v>0.28699999999999998</v>
      </c>
      <c r="U63" s="16">
        <v>0.30399999999999999</v>
      </c>
      <c r="V63" s="20" t="s">
        <v>38</v>
      </c>
      <c r="W63" s="16">
        <v>0.32100000000000001</v>
      </c>
      <c r="X63" s="19">
        <v>0.29099999999999998</v>
      </c>
      <c r="Y63" s="7" t="s">
        <v>38</v>
      </c>
      <c r="Z63" s="19">
        <v>0.29899999999999999</v>
      </c>
      <c r="AA63" s="19">
        <v>0.29899999999999999</v>
      </c>
      <c r="AB63" s="19" t="s">
        <v>38</v>
      </c>
      <c r="AC63" s="7">
        <v>0.28899999999999998</v>
      </c>
      <c r="AD63" s="24">
        <v>0.28999999999999998</v>
      </c>
      <c r="AE63" s="24" t="s">
        <v>38</v>
      </c>
      <c r="AF63" s="24">
        <v>0.20799999999999999</v>
      </c>
      <c r="AG63" s="24">
        <v>0.20100000000000001</v>
      </c>
      <c r="AH63" s="24">
        <v>0.186</v>
      </c>
      <c r="AI63" s="24" t="s">
        <v>38</v>
      </c>
      <c r="AJ63" s="24" t="s">
        <v>38</v>
      </c>
      <c r="AK63" s="24">
        <v>0.19600000000000001</v>
      </c>
      <c r="AL63" s="24">
        <v>0.185</v>
      </c>
      <c r="AM63" s="24">
        <v>0.318</v>
      </c>
      <c r="AN63" s="51">
        <v>0.26200000000000001</v>
      </c>
      <c r="AO63" s="51" t="s">
        <v>38</v>
      </c>
      <c r="AP63" s="51" t="s">
        <v>38</v>
      </c>
      <c r="AQ63" s="51">
        <v>0.23699999999999999</v>
      </c>
      <c r="AR63" s="51" t="s">
        <v>38</v>
      </c>
      <c r="AS63" s="51">
        <v>0.22900000000000001</v>
      </c>
      <c r="AT63" s="51" t="s">
        <v>38</v>
      </c>
      <c r="AU63" s="51">
        <v>0.218</v>
      </c>
      <c r="AV63" s="51" t="s">
        <v>38</v>
      </c>
      <c r="AW63" s="51" t="s">
        <v>38</v>
      </c>
      <c r="AX63" s="51" t="s">
        <v>38</v>
      </c>
      <c r="AY63" s="51">
        <v>0.189</v>
      </c>
      <c r="AZ63" s="51">
        <v>0.22</v>
      </c>
      <c r="BA63" s="51">
        <v>0.313</v>
      </c>
      <c r="BB63" s="52">
        <v>0.1845</v>
      </c>
      <c r="BC63" s="51">
        <v>0.20400000000000001</v>
      </c>
      <c r="BD63" s="62">
        <v>0.25900000000000001</v>
      </c>
      <c r="BE63" s="53">
        <v>0.26650000000000001</v>
      </c>
      <c r="BF63" s="53">
        <v>0.20699999999999999</v>
      </c>
      <c r="BG63" s="51">
        <v>0.28700000000000003</v>
      </c>
      <c r="BH63" s="38" t="s">
        <v>38</v>
      </c>
      <c r="BI63" s="38" t="s">
        <v>38</v>
      </c>
      <c r="BJ63" s="38" t="s">
        <v>38</v>
      </c>
      <c r="BK63" s="38">
        <v>0.2525</v>
      </c>
      <c r="BL63" s="38" t="s">
        <v>38</v>
      </c>
      <c r="BM63" s="38" t="s">
        <v>38</v>
      </c>
      <c r="BN63" s="55" t="s">
        <v>38</v>
      </c>
      <c r="BO63" s="51" t="s">
        <v>38</v>
      </c>
      <c r="BP63" s="38" t="s">
        <v>38</v>
      </c>
      <c r="BQ63" s="38">
        <v>0.1915</v>
      </c>
      <c r="BR63" s="56">
        <v>0.191</v>
      </c>
      <c r="BS63" s="56">
        <v>0.19800000000000001</v>
      </c>
      <c r="BT63" s="56">
        <v>0.1925</v>
      </c>
      <c r="BU63" s="42">
        <v>0.1905</v>
      </c>
      <c r="BV63" s="56" t="s">
        <v>38</v>
      </c>
      <c r="BW63" s="42" t="s">
        <v>38</v>
      </c>
      <c r="BX63" s="20" t="s">
        <v>38</v>
      </c>
      <c r="BY63" s="85">
        <f>(0.296+0.318)/2</f>
        <v>0.307</v>
      </c>
      <c r="BZ63" s="85">
        <f>(0.369+0.353)/2</f>
        <v>0.36099999999999999</v>
      </c>
      <c r="CA63" s="87">
        <v>0.28149999999999997</v>
      </c>
    </row>
    <row r="64" spans="1:79">
      <c r="A64" s="29" t="s">
        <v>17</v>
      </c>
      <c r="B64" s="82">
        <v>254457.14039799999</v>
      </c>
      <c r="C64" s="82">
        <v>4505622.2859399999</v>
      </c>
      <c r="D64" s="20">
        <v>0.29549999999999998</v>
      </c>
      <c r="E64" s="20">
        <v>0.26550000000000001</v>
      </c>
      <c r="F64" s="20">
        <v>0.28249999999999997</v>
      </c>
      <c r="G64" s="20">
        <v>0.26800000000000002</v>
      </c>
      <c r="H64" s="20">
        <v>0.26900000000000002</v>
      </c>
      <c r="I64" s="20">
        <v>0.20900000000000002</v>
      </c>
      <c r="J64" s="20">
        <v>0.191</v>
      </c>
      <c r="K64" s="20">
        <v>0.16799999999999998</v>
      </c>
      <c r="L64" s="20">
        <v>0.21199999999999999</v>
      </c>
      <c r="M64" s="20">
        <v>0.16350000000000001</v>
      </c>
      <c r="N64" s="16">
        <v>0.20200000000000001</v>
      </c>
      <c r="O64" s="16">
        <v>0.1615</v>
      </c>
      <c r="P64" s="20" t="s">
        <v>38</v>
      </c>
      <c r="Q64" s="16">
        <v>0.2165</v>
      </c>
      <c r="R64" s="20" t="s">
        <v>38</v>
      </c>
      <c r="S64" s="20" t="s">
        <v>38</v>
      </c>
      <c r="T64" s="16">
        <v>0.28100000000000003</v>
      </c>
      <c r="U64" s="16">
        <v>0.28999999999999998</v>
      </c>
      <c r="V64" s="20" t="s">
        <v>38</v>
      </c>
      <c r="W64" s="16">
        <v>0.32600000000000001</v>
      </c>
      <c r="X64" s="19">
        <v>0.30299999999999999</v>
      </c>
      <c r="Y64" s="7" t="s">
        <v>38</v>
      </c>
      <c r="Z64" s="19">
        <v>0.307</v>
      </c>
      <c r="AA64" s="19">
        <v>0.3</v>
      </c>
      <c r="AB64" s="19" t="s">
        <v>38</v>
      </c>
      <c r="AC64" s="7">
        <v>0.30199999999999999</v>
      </c>
      <c r="AD64" s="24">
        <v>0.28999999999999998</v>
      </c>
      <c r="AE64" s="24" t="s">
        <v>38</v>
      </c>
      <c r="AF64" s="24">
        <v>0.19400000000000001</v>
      </c>
      <c r="AG64" s="24">
        <v>0.20899999999999999</v>
      </c>
      <c r="AH64" s="24">
        <v>0.192</v>
      </c>
      <c r="AI64" s="24" t="s">
        <v>38</v>
      </c>
      <c r="AJ64" s="24" t="s">
        <v>38</v>
      </c>
      <c r="AK64" s="24">
        <v>0.19500000000000001</v>
      </c>
      <c r="AL64" s="24">
        <v>0.215</v>
      </c>
      <c r="AM64" s="24">
        <v>0.29599999999999999</v>
      </c>
      <c r="AN64" s="51">
        <v>0.223</v>
      </c>
      <c r="AO64" s="51" t="s">
        <v>38</v>
      </c>
      <c r="AP64" s="51" t="s">
        <v>38</v>
      </c>
      <c r="AQ64" s="51">
        <v>0.23300000000000001</v>
      </c>
      <c r="AR64" s="51" t="s">
        <v>38</v>
      </c>
      <c r="AS64" s="51">
        <v>0.20499999999999999</v>
      </c>
      <c r="AT64" s="51" t="s">
        <v>38</v>
      </c>
      <c r="AU64" s="51">
        <v>0.20899999999999999</v>
      </c>
      <c r="AV64" s="51" t="s">
        <v>38</v>
      </c>
      <c r="AW64" s="51" t="s">
        <v>38</v>
      </c>
      <c r="AX64" s="51" t="s">
        <v>38</v>
      </c>
      <c r="AY64" s="51">
        <v>0.26700000000000002</v>
      </c>
      <c r="AZ64" s="51">
        <v>0.222</v>
      </c>
      <c r="BA64" s="51">
        <v>0.26</v>
      </c>
      <c r="BB64" s="52">
        <v>0.17799999999999999</v>
      </c>
      <c r="BC64" s="51">
        <v>0.22700000000000001</v>
      </c>
      <c r="BD64" s="62">
        <v>0.28600000000000003</v>
      </c>
      <c r="BE64" s="53">
        <v>0.27849999999999997</v>
      </c>
      <c r="BF64" s="53">
        <v>0.192</v>
      </c>
      <c r="BG64" s="51">
        <v>0.27949999999999997</v>
      </c>
      <c r="BH64" s="38" t="s">
        <v>38</v>
      </c>
      <c r="BI64" s="38" t="s">
        <v>38</v>
      </c>
      <c r="BJ64" s="38" t="s">
        <v>38</v>
      </c>
      <c r="BK64" s="38">
        <v>0.25950000000000001</v>
      </c>
      <c r="BL64" s="38" t="s">
        <v>38</v>
      </c>
      <c r="BM64" s="38" t="s">
        <v>38</v>
      </c>
      <c r="BN64" s="55" t="s">
        <v>38</v>
      </c>
      <c r="BO64" s="51" t="s">
        <v>38</v>
      </c>
      <c r="BP64" s="38" t="s">
        <v>38</v>
      </c>
      <c r="BQ64" s="38">
        <v>0.1925</v>
      </c>
      <c r="BR64" s="56">
        <v>0.1915</v>
      </c>
      <c r="BS64" s="56">
        <v>0.191</v>
      </c>
      <c r="BT64" s="56">
        <v>0.19350000000000001</v>
      </c>
      <c r="BU64" s="42">
        <v>0.20550000000000002</v>
      </c>
      <c r="BV64" s="56" t="s">
        <v>38</v>
      </c>
      <c r="BW64" s="42" t="s">
        <v>38</v>
      </c>
      <c r="BX64" s="20" t="s">
        <v>38</v>
      </c>
      <c r="BY64" s="85">
        <f>(0.297+0.287)/2</f>
        <v>0.29199999999999998</v>
      </c>
      <c r="BZ64" s="85">
        <f>(0.366+0.371)/2</f>
        <v>0.36849999999999999</v>
      </c>
      <c r="CA64" s="87">
        <v>0.28299999999999997</v>
      </c>
    </row>
    <row r="65" spans="1:79">
      <c r="A65" s="29">
        <v>52</v>
      </c>
      <c r="B65" s="82">
        <v>254458.46923300001</v>
      </c>
      <c r="C65" s="82">
        <v>4505643.4115500003</v>
      </c>
      <c r="D65" s="20">
        <v>0.29949999999999999</v>
      </c>
      <c r="E65" s="20">
        <v>0.26200000000000001</v>
      </c>
      <c r="F65" s="20">
        <v>0.26350000000000001</v>
      </c>
      <c r="G65" s="20">
        <v>0.27300000000000002</v>
      </c>
      <c r="H65" s="20" t="s">
        <v>38</v>
      </c>
      <c r="I65" s="20">
        <v>0.20650000000000002</v>
      </c>
      <c r="J65" s="20">
        <v>0.2175</v>
      </c>
      <c r="K65" s="20">
        <v>0.17399999999999999</v>
      </c>
      <c r="L65" s="20">
        <v>0.1905</v>
      </c>
      <c r="M65" s="20">
        <v>0.159</v>
      </c>
      <c r="N65" s="16">
        <v>0.185</v>
      </c>
      <c r="O65" s="16">
        <v>0.1575</v>
      </c>
      <c r="P65" s="16">
        <v>0.16300000000000001</v>
      </c>
      <c r="Q65" s="16">
        <v>0.192</v>
      </c>
      <c r="R65" s="16">
        <v>0.2205</v>
      </c>
      <c r="S65" s="16">
        <v>0.191</v>
      </c>
      <c r="T65" s="16">
        <v>0.32200000000000001</v>
      </c>
      <c r="U65" s="16">
        <v>0.32200000000000001</v>
      </c>
      <c r="V65" s="20" t="s">
        <v>38</v>
      </c>
      <c r="W65" s="16">
        <v>0.374</v>
      </c>
      <c r="X65" s="19">
        <v>0.35299999999999998</v>
      </c>
      <c r="Y65" s="7">
        <v>0.34699999999999998</v>
      </c>
      <c r="Z65" s="19">
        <v>0.36199999999999999</v>
      </c>
      <c r="AA65" s="19">
        <v>0.34399999999999997</v>
      </c>
      <c r="AB65" s="19">
        <v>0.35699999999999998</v>
      </c>
      <c r="AC65" s="7">
        <v>0.35799999999999998</v>
      </c>
      <c r="AD65" s="24">
        <v>0.33300000000000002</v>
      </c>
      <c r="AE65" s="24">
        <v>0.29699999999999999</v>
      </c>
      <c r="AF65" s="24">
        <v>0.252</v>
      </c>
      <c r="AG65" s="24">
        <v>0.247</v>
      </c>
      <c r="AH65" s="24">
        <v>0.21299999999999999</v>
      </c>
      <c r="AI65" s="24">
        <v>0.23599999999999999</v>
      </c>
      <c r="AJ65" s="24">
        <v>0.25700000000000001</v>
      </c>
      <c r="AK65" s="24">
        <v>0.20499999999999999</v>
      </c>
      <c r="AL65" s="24">
        <v>0.26800000000000002</v>
      </c>
      <c r="AM65" s="24">
        <v>0.36399999999999999</v>
      </c>
      <c r="AN65" s="51">
        <v>0.27100000000000002</v>
      </c>
      <c r="AO65" s="51">
        <v>0.22800000000000001</v>
      </c>
      <c r="AP65" s="51">
        <v>0.251</v>
      </c>
      <c r="AQ65" s="51">
        <v>0.223</v>
      </c>
      <c r="AR65" s="51">
        <v>0.23699999999999999</v>
      </c>
      <c r="AS65" s="51">
        <v>0.20599999999999999</v>
      </c>
      <c r="AT65" s="51">
        <v>0.217</v>
      </c>
      <c r="AU65" s="51">
        <v>0.20799999999999999</v>
      </c>
      <c r="AV65" s="51">
        <v>0.19</v>
      </c>
      <c r="AW65" s="51">
        <v>0.17899999999999999</v>
      </c>
      <c r="AX65" s="51">
        <v>0.16200000000000001</v>
      </c>
      <c r="AY65" s="51">
        <v>0.22900000000000001</v>
      </c>
      <c r="AZ65" s="51">
        <v>0.222</v>
      </c>
      <c r="BA65" s="51">
        <v>0.20499999999999999</v>
      </c>
      <c r="BB65" s="52">
        <v>0.16949999999999998</v>
      </c>
      <c r="BC65" s="51">
        <v>0.2155</v>
      </c>
      <c r="BD65" s="62">
        <v>0.23549999999999999</v>
      </c>
      <c r="BE65" s="53" t="s">
        <v>38</v>
      </c>
      <c r="BF65" s="53" t="s">
        <v>38</v>
      </c>
      <c r="BG65" s="51">
        <v>0.27149999999999996</v>
      </c>
      <c r="BH65" s="38">
        <v>0.25750000000000001</v>
      </c>
      <c r="BI65" s="38">
        <v>0.27200000000000002</v>
      </c>
      <c r="BJ65" s="38">
        <v>0.25800000000000001</v>
      </c>
      <c r="BK65" s="38">
        <v>0.251</v>
      </c>
      <c r="BL65" s="38">
        <v>0.25600000000000001</v>
      </c>
      <c r="BM65" s="38">
        <v>0.28549999999999998</v>
      </c>
      <c r="BN65" s="55" t="s">
        <v>38</v>
      </c>
      <c r="BO65" s="51">
        <v>0.26100000000000001</v>
      </c>
      <c r="BP65" s="38">
        <v>0.26150000000000001</v>
      </c>
      <c r="BQ65" s="38">
        <v>0.1925</v>
      </c>
      <c r="BR65" s="56">
        <v>0.2145</v>
      </c>
      <c r="BS65" s="56">
        <v>0.20450000000000002</v>
      </c>
      <c r="BT65" s="56">
        <v>0.214</v>
      </c>
      <c r="BU65" s="42">
        <v>0.21099999999999999</v>
      </c>
      <c r="BV65" s="56">
        <v>0.184</v>
      </c>
      <c r="BW65" s="42">
        <v>0.2225</v>
      </c>
      <c r="BX65" s="20" t="s">
        <v>38</v>
      </c>
      <c r="BY65" s="85">
        <v>0.28399999999999997</v>
      </c>
      <c r="BZ65" s="85">
        <f>(0.369+0.43)/2</f>
        <v>0.39949999999999997</v>
      </c>
      <c r="CA65" s="87">
        <v>0.28549999999999998</v>
      </c>
    </row>
    <row r="66" spans="1:79">
      <c r="A66" s="29">
        <v>53</v>
      </c>
      <c r="B66" s="82">
        <v>254461.35652100001</v>
      </c>
      <c r="C66" s="82">
        <v>4505680.3409799999</v>
      </c>
      <c r="D66" s="20">
        <v>0.32250000000000001</v>
      </c>
      <c r="E66" s="20">
        <v>0.30299999999999999</v>
      </c>
      <c r="F66" s="20">
        <v>0.312</v>
      </c>
      <c r="G66" s="20">
        <v>0.30599999999999999</v>
      </c>
      <c r="H66" s="20">
        <v>0.30599999999999999</v>
      </c>
      <c r="I66" s="20">
        <v>0.2195</v>
      </c>
      <c r="J66" s="20">
        <v>0.19400000000000001</v>
      </c>
      <c r="K66" s="20">
        <v>0.16700000000000001</v>
      </c>
      <c r="L66" s="20" t="s">
        <v>38</v>
      </c>
      <c r="M66" s="20" t="s">
        <v>38</v>
      </c>
      <c r="N66" s="20" t="s">
        <v>38</v>
      </c>
      <c r="O66" s="20" t="s">
        <v>38</v>
      </c>
      <c r="P66" s="20" t="s">
        <v>38</v>
      </c>
      <c r="Q66" s="20" t="s">
        <v>38</v>
      </c>
      <c r="R66" s="20" t="s">
        <v>38</v>
      </c>
      <c r="S66" s="20" t="s">
        <v>38</v>
      </c>
      <c r="T66" s="23">
        <v>0.28799999999999998</v>
      </c>
      <c r="U66" s="23">
        <v>0.34300000000000003</v>
      </c>
      <c r="V66" s="23">
        <v>0.34599999999999997</v>
      </c>
      <c r="W66" s="23">
        <v>0.38800000000000001</v>
      </c>
      <c r="X66" s="19">
        <v>0.35</v>
      </c>
      <c r="Y66" s="7">
        <v>0.33500000000000002</v>
      </c>
      <c r="Z66" s="19">
        <v>0.34499999999999997</v>
      </c>
      <c r="AA66" s="19">
        <v>0.33500000000000002</v>
      </c>
      <c r="AB66" s="19">
        <v>0.35699999999999998</v>
      </c>
      <c r="AC66" s="7">
        <v>0.32600000000000001</v>
      </c>
      <c r="AD66" s="24">
        <v>0.29499999999999998</v>
      </c>
      <c r="AE66" s="24">
        <v>0.251</v>
      </c>
      <c r="AF66" s="24">
        <v>0.19400000000000001</v>
      </c>
      <c r="AG66" s="24">
        <v>0.20499999999999999</v>
      </c>
      <c r="AH66" s="24">
        <v>0.20200000000000001</v>
      </c>
      <c r="AI66" s="24">
        <v>0.19</v>
      </c>
      <c r="AJ66" s="24">
        <v>0.17</v>
      </c>
      <c r="AK66" s="24">
        <v>0.191</v>
      </c>
      <c r="AL66" s="24">
        <v>0.19800000000000001</v>
      </c>
      <c r="AM66" s="24">
        <v>0.36699999999999999</v>
      </c>
      <c r="AN66" s="51">
        <v>0.26100000000000001</v>
      </c>
      <c r="AO66" s="51">
        <v>0.23200000000000001</v>
      </c>
      <c r="AP66" s="51">
        <v>0.26900000000000002</v>
      </c>
      <c r="AQ66" s="51">
        <v>0.223</v>
      </c>
      <c r="AR66" s="51">
        <v>0.23100000000000001</v>
      </c>
      <c r="AS66" s="51">
        <v>0.20899999999999999</v>
      </c>
      <c r="AT66" s="51">
        <v>0.20899999999999999</v>
      </c>
      <c r="AU66" s="51">
        <v>0.187</v>
      </c>
      <c r="AV66" s="51">
        <v>0.17599999999999999</v>
      </c>
      <c r="AW66" s="51">
        <v>0.16900000000000001</v>
      </c>
      <c r="AX66" s="51">
        <v>0.16</v>
      </c>
      <c r="AY66" s="51">
        <v>0.16900000000000001</v>
      </c>
      <c r="AZ66" s="51">
        <v>0.17899999999999999</v>
      </c>
      <c r="BA66" s="51">
        <v>0.161</v>
      </c>
      <c r="BB66" s="52">
        <v>0.13</v>
      </c>
      <c r="BC66" s="51">
        <v>0.2</v>
      </c>
      <c r="BD66" s="62">
        <v>0.19350000000000001</v>
      </c>
      <c r="BE66" s="53" t="s">
        <v>38</v>
      </c>
      <c r="BF66" s="53">
        <v>0.1545</v>
      </c>
      <c r="BG66" s="51">
        <v>0.32250000000000001</v>
      </c>
      <c r="BH66" s="38">
        <v>0.25900000000000001</v>
      </c>
      <c r="BI66" s="38">
        <v>0.28949999999999998</v>
      </c>
      <c r="BJ66" s="38">
        <v>0.30399999999999999</v>
      </c>
      <c r="BK66" s="38">
        <v>0.27350000000000002</v>
      </c>
      <c r="BL66" s="38">
        <v>0.27500000000000002</v>
      </c>
      <c r="BM66" s="38">
        <v>0.29249999999999998</v>
      </c>
      <c r="BN66" s="55" t="s">
        <v>38</v>
      </c>
      <c r="BO66" s="51">
        <v>0.28899999999999998</v>
      </c>
      <c r="BP66" s="38">
        <v>0.27600000000000002</v>
      </c>
      <c r="BQ66" s="38">
        <v>0.19500000000000001</v>
      </c>
      <c r="BR66" s="56" t="s">
        <v>38</v>
      </c>
      <c r="BS66" s="56">
        <v>0.192</v>
      </c>
      <c r="BT66" s="56">
        <v>0.1925</v>
      </c>
      <c r="BU66" s="42">
        <v>0.16799999999999998</v>
      </c>
      <c r="BV66" s="56">
        <v>0.16550000000000001</v>
      </c>
      <c r="BW66" s="42" t="s">
        <v>38</v>
      </c>
      <c r="BX66" s="20" t="s">
        <v>38</v>
      </c>
      <c r="BY66" s="85">
        <f>(0.328+0.327)/2</f>
        <v>0.32750000000000001</v>
      </c>
      <c r="BZ66" s="85">
        <f>(0.41+0.409)/2</f>
        <v>0.40949999999999998</v>
      </c>
      <c r="CA66" s="87">
        <v>0.32550000000000001</v>
      </c>
    </row>
    <row r="67" spans="1:79">
      <c r="A67" s="29" t="s">
        <v>18</v>
      </c>
      <c r="B67" s="82">
        <v>254462.48352099999</v>
      </c>
      <c r="C67" s="82">
        <v>4505680.94594</v>
      </c>
      <c r="D67" s="20" t="s">
        <v>38</v>
      </c>
      <c r="E67" s="20" t="s">
        <v>38</v>
      </c>
      <c r="F67" s="20" t="s">
        <v>38</v>
      </c>
      <c r="G67" s="20" t="s">
        <v>38</v>
      </c>
      <c r="H67" s="20" t="s">
        <v>38</v>
      </c>
      <c r="I67" s="20" t="s">
        <v>38</v>
      </c>
      <c r="J67" s="20" t="s">
        <v>38</v>
      </c>
      <c r="K67" s="20" t="s">
        <v>38</v>
      </c>
      <c r="L67" s="20" t="s">
        <v>38</v>
      </c>
      <c r="M67" s="20" t="s">
        <v>38</v>
      </c>
      <c r="N67" s="20" t="s">
        <v>38</v>
      </c>
      <c r="O67" s="20" t="s">
        <v>38</v>
      </c>
      <c r="P67" s="20" t="s">
        <v>38</v>
      </c>
      <c r="Q67" s="20" t="s">
        <v>38</v>
      </c>
      <c r="R67" s="20" t="s">
        <v>38</v>
      </c>
      <c r="S67" s="20" t="s">
        <v>38</v>
      </c>
      <c r="T67" s="20" t="s">
        <v>38</v>
      </c>
      <c r="U67" s="20" t="s">
        <v>38</v>
      </c>
      <c r="V67" s="20" t="s">
        <v>38</v>
      </c>
      <c r="W67" s="20" t="s">
        <v>38</v>
      </c>
      <c r="X67" s="20" t="s">
        <v>38</v>
      </c>
      <c r="Y67" s="20" t="s">
        <v>38</v>
      </c>
      <c r="Z67" s="20" t="s">
        <v>38</v>
      </c>
      <c r="AA67" s="20" t="s">
        <v>38</v>
      </c>
      <c r="AB67" s="20" t="s">
        <v>38</v>
      </c>
      <c r="AC67" s="20" t="s">
        <v>38</v>
      </c>
      <c r="AD67" s="20" t="s">
        <v>38</v>
      </c>
      <c r="AE67" s="20" t="s">
        <v>38</v>
      </c>
      <c r="AF67" s="20" t="s">
        <v>38</v>
      </c>
      <c r="AG67" s="20" t="s">
        <v>38</v>
      </c>
      <c r="AH67" s="20" t="s">
        <v>38</v>
      </c>
      <c r="AI67" s="20" t="s">
        <v>38</v>
      </c>
      <c r="AJ67" s="20" t="s">
        <v>38</v>
      </c>
      <c r="AK67" s="20" t="s">
        <v>38</v>
      </c>
      <c r="AL67" s="20" t="s">
        <v>38</v>
      </c>
      <c r="AM67" s="20" t="s">
        <v>38</v>
      </c>
      <c r="AN67" s="20" t="s">
        <v>38</v>
      </c>
      <c r="AO67" s="20" t="s">
        <v>38</v>
      </c>
      <c r="AP67" s="20" t="s">
        <v>38</v>
      </c>
      <c r="AQ67" s="20" t="s">
        <v>38</v>
      </c>
      <c r="AR67" s="20" t="s">
        <v>38</v>
      </c>
      <c r="AS67" s="20" t="s">
        <v>38</v>
      </c>
      <c r="AT67" s="20" t="s">
        <v>38</v>
      </c>
      <c r="AU67" s="20" t="s">
        <v>38</v>
      </c>
      <c r="AV67" s="20" t="s">
        <v>38</v>
      </c>
      <c r="AW67" s="20" t="s">
        <v>38</v>
      </c>
      <c r="AX67" s="20" t="s">
        <v>38</v>
      </c>
      <c r="AY67" s="20" t="s">
        <v>38</v>
      </c>
      <c r="AZ67" s="20" t="s">
        <v>38</v>
      </c>
      <c r="BA67" s="20" t="s">
        <v>38</v>
      </c>
      <c r="BB67" s="20" t="s">
        <v>38</v>
      </c>
      <c r="BC67" s="20" t="s">
        <v>38</v>
      </c>
      <c r="BD67" s="20" t="s">
        <v>38</v>
      </c>
      <c r="BE67" s="20" t="s">
        <v>38</v>
      </c>
      <c r="BF67" s="20" t="s">
        <v>38</v>
      </c>
      <c r="BG67" s="20" t="s">
        <v>38</v>
      </c>
      <c r="BH67" s="20" t="s">
        <v>38</v>
      </c>
      <c r="BI67" s="20" t="s">
        <v>38</v>
      </c>
      <c r="BJ67" s="20" t="s">
        <v>38</v>
      </c>
      <c r="BK67" s="20" t="s">
        <v>38</v>
      </c>
      <c r="BL67" s="20" t="s">
        <v>38</v>
      </c>
      <c r="BM67" s="20" t="s">
        <v>38</v>
      </c>
      <c r="BN67" s="20" t="s">
        <v>38</v>
      </c>
      <c r="BO67" s="20" t="s">
        <v>38</v>
      </c>
      <c r="BP67" s="20" t="s">
        <v>38</v>
      </c>
      <c r="BQ67" s="20" t="s">
        <v>38</v>
      </c>
      <c r="BR67" s="20" t="s">
        <v>38</v>
      </c>
      <c r="BS67" s="20" t="s">
        <v>38</v>
      </c>
      <c r="BT67" s="20" t="s">
        <v>38</v>
      </c>
      <c r="BU67" s="20" t="s">
        <v>38</v>
      </c>
      <c r="BV67" s="20" t="s">
        <v>38</v>
      </c>
      <c r="BW67" s="20" t="s">
        <v>38</v>
      </c>
      <c r="BX67" s="20" t="s">
        <v>38</v>
      </c>
      <c r="BY67" s="85" t="s">
        <v>38</v>
      </c>
      <c r="BZ67" s="85" t="s">
        <v>38</v>
      </c>
      <c r="CA67" s="87" t="s">
        <v>38</v>
      </c>
    </row>
    <row r="68" spans="1:79">
      <c r="A68" s="29" t="s">
        <v>19</v>
      </c>
      <c r="B68" s="82">
        <v>254462.19347299999</v>
      </c>
      <c r="C68" s="82">
        <v>4505679.2486500004</v>
      </c>
      <c r="D68" s="20">
        <v>0.26200000000000001</v>
      </c>
      <c r="E68" s="20">
        <v>0.21149999999999999</v>
      </c>
      <c r="F68" s="20">
        <v>0.223</v>
      </c>
      <c r="G68" s="20">
        <v>0.23049999999999998</v>
      </c>
      <c r="H68" s="20">
        <v>0.216</v>
      </c>
      <c r="I68" s="20">
        <v>0.17299999999999999</v>
      </c>
      <c r="J68" s="20">
        <v>0.152</v>
      </c>
      <c r="K68" s="20">
        <v>0.1555</v>
      </c>
      <c r="L68" s="20">
        <v>0.17</v>
      </c>
      <c r="M68" s="20">
        <v>0.14200000000000002</v>
      </c>
      <c r="N68" s="16">
        <v>0.17149999999999999</v>
      </c>
      <c r="O68" s="16">
        <v>0.154</v>
      </c>
      <c r="P68" s="20" t="s">
        <v>38</v>
      </c>
      <c r="Q68" s="16">
        <v>0.17599999999999999</v>
      </c>
      <c r="R68" s="20" t="s">
        <v>38</v>
      </c>
      <c r="S68" s="20" t="s">
        <v>38</v>
      </c>
      <c r="T68" s="16">
        <v>0.247</v>
      </c>
      <c r="U68" s="16">
        <v>0.249</v>
      </c>
      <c r="V68" s="16">
        <v>0.26600000000000001</v>
      </c>
      <c r="W68" s="16">
        <v>0.26200000000000001</v>
      </c>
      <c r="X68" s="19">
        <v>0.25600000000000001</v>
      </c>
      <c r="Y68" s="20" t="s">
        <v>38</v>
      </c>
      <c r="Z68" s="19">
        <v>0.27200000000000002</v>
      </c>
      <c r="AA68" s="19">
        <v>0.26100000000000001</v>
      </c>
      <c r="AB68" s="20" t="s">
        <v>38</v>
      </c>
      <c r="AC68" s="7">
        <v>0.26300000000000001</v>
      </c>
      <c r="AD68" s="24">
        <v>0.24099999999999999</v>
      </c>
      <c r="AE68" s="24" t="s">
        <v>38</v>
      </c>
      <c r="AF68" s="24">
        <v>0.18099999999999999</v>
      </c>
      <c r="AG68" s="24">
        <v>0.185</v>
      </c>
      <c r="AH68" s="24">
        <v>0.16500000000000001</v>
      </c>
      <c r="AI68" s="24" t="s">
        <v>38</v>
      </c>
      <c r="AJ68" s="24" t="s">
        <v>38</v>
      </c>
      <c r="AK68" s="24">
        <v>0.17</v>
      </c>
      <c r="AL68" s="24">
        <v>0.16700000000000001</v>
      </c>
      <c r="AM68" s="24">
        <v>0.26900000000000002</v>
      </c>
      <c r="AN68" s="51">
        <v>0.19900000000000001</v>
      </c>
      <c r="AO68" s="20" t="s">
        <v>38</v>
      </c>
      <c r="AP68" s="20" t="s">
        <v>38</v>
      </c>
      <c r="AQ68" s="51">
        <v>0.186</v>
      </c>
      <c r="AR68" s="20" t="s">
        <v>38</v>
      </c>
      <c r="AS68" s="51">
        <v>0.17</v>
      </c>
      <c r="AT68" s="20" t="s">
        <v>38</v>
      </c>
      <c r="AU68" s="51">
        <v>0.152</v>
      </c>
      <c r="AV68" s="20" t="s">
        <v>38</v>
      </c>
      <c r="AW68" s="20" t="s">
        <v>38</v>
      </c>
      <c r="AX68" s="20" t="s">
        <v>38</v>
      </c>
      <c r="AY68" s="51">
        <v>0.17100000000000001</v>
      </c>
      <c r="AZ68" s="51">
        <v>0.16600000000000001</v>
      </c>
      <c r="BA68" s="51">
        <v>0.14399999999999999</v>
      </c>
      <c r="BB68" s="52">
        <v>0.1105</v>
      </c>
      <c r="BC68" s="51">
        <v>0.1305</v>
      </c>
      <c r="BD68" s="62">
        <v>0.16450000000000001</v>
      </c>
      <c r="BE68" s="20" t="s">
        <v>38</v>
      </c>
      <c r="BF68" s="53">
        <v>0.1045</v>
      </c>
      <c r="BG68" s="51">
        <v>0.222</v>
      </c>
      <c r="BH68" s="20" t="s">
        <v>38</v>
      </c>
      <c r="BI68" s="20" t="s">
        <v>38</v>
      </c>
      <c r="BJ68" s="20" t="s">
        <v>38</v>
      </c>
      <c r="BK68" s="38">
        <v>0.2</v>
      </c>
      <c r="BL68" s="20" t="s">
        <v>38</v>
      </c>
      <c r="BM68" s="20" t="s">
        <v>38</v>
      </c>
      <c r="BN68" s="20" t="s">
        <v>38</v>
      </c>
      <c r="BO68" s="20" t="s">
        <v>38</v>
      </c>
      <c r="BP68" s="20" t="s">
        <v>38</v>
      </c>
      <c r="BQ68" s="38">
        <v>0.14899999999999999</v>
      </c>
      <c r="BR68" s="56">
        <v>0.15</v>
      </c>
      <c r="BS68" s="56">
        <v>0.14499999999999999</v>
      </c>
      <c r="BT68" s="56">
        <v>0.158</v>
      </c>
      <c r="BU68" s="42">
        <v>0.14000000000000001</v>
      </c>
      <c r="BV68" s="20" t="s">
        <v>38</v>
      </c>
      <c r="BW68" s="20" t="s">
        <v>38</v>
      </c>
      <c r="BX68" s="20" t="s">
        <v>38</v>
      </c>
      <c r="BY68" s="85">
        <f>(0.223+0.232)/2</f>
        <v>0.22750000000000001</v>
      </c>
      <c r="BZ68" s="85" t="s">
        <v>38</v>
      </c>
      <c r="CA68" s="87" t="s">
        <v>38</v>
      </c>
    </row>
    <row r="69" spans="1:79">
      <c r="A69" s="29" t="s">
        <v>20</v>
      </c>
      <c r="B69" s="82">
        <v>254460.18427299999</v>
      </c>
      <c r="C69" s="82">
        <v>4505679.29464</v>
      </c>
      <c r="D69" s="20">
        <v>0.28050000000000003</v>
      </c>
      <c r="E69" s="20">
        <v>0.253</v>
      </c>
      <c r="F69" s="20">
        <v>0.26</v>
      </c>
      <c r="G69" s="20">
        <v>0.26450000000000001</v>
      </c>
      <c r="H69" s="20">
        <v>0.2455</v>
      </c>
      <c r="I69" s="20">
        <v>0.184</v>
      </c>
      <c r="J69" s="20">
        <v>0.17199999999999999</v>
      </c>
      <c r="K69" s="20">
        <v>0.14599999999999999</v>
      </c>
      <c r="L69" s="20">
        <v>0.155</v>
      </c>
      <c r="M69" s="20">
        <v>0.13900000000000001</v>
      </c>
      <c r="N69" s="16">
        <v>0.15049999999999999</v>
      </c>
      <c r="O69" s="16">
        <v>0.13250000000000001</v>
      </c>
      <c r="P69" s="16">
        <v>0.14150000000000001</v>
      </c>
      <c r="Q69" s="16">
        <v>0.17</v>
      </c>
      <c r="R69" s="16">
        <v>0.19650000000000001</v>
      </c>
      <c r="S69" s="16">
        <v>0.1905</v>
      </c>
      <c r="T69" s="16">
        <v>0.26500000000000001</v>
      </c>
      <c r="U69" s="16">
        <v>0.27200000000000002</v>
      </c>
      <c r="V69" s="16">
        <v>0.29499999999999998</v>
      </c>
      <c r="W69" s="16">
        <v>0.30099999999999999</v>
      </c>
      <c r="X69" s="19">
        <v>0.29299999999999998</v>
      </c>
      <c r="Y69" s="20" t="s">
        <v>38</v>
      </c>
      <c r="Z69" s="19">
        <v>0.29499999999999998</v>
      </c>
      <c r="AA69" s="19">
        <v>0.28899999999999998</v>
      </c>
      <c r="AB69" s="20" t="s">
        <v>38</v>
      </c>
      <c r="AC69" s="7">
        <v>0.28899999999999998</v>
      </c>
      <c r="AD69" s="24">
        <v>0.27200000000000002</v>
      </c>
      <c r="AE69" s="24" t="s">
        <v>38</v>
      </c>
      <c r="AF69" s="24">
        <v>0.188</v>
      </c>
      <c r="AG69" s="24">
        <v>0.16600000000000001</v>
      </c>
      <c r="AH69" s="24">
        <v>0.17499999999999999</v>
      </c>
      <c r="AI69" s="24" t="s">
        <v>38</v>
      </c>
      <c r="AJ69" s="24" t="s">
        <v>38</v>
      </c>
      <c r="AK69" s="24">
        <v>0.16500000000000001</v>
      </c>
      <c r="AL69" s="24">
        <v>0.21099999999999999</v>
      </c>
      <c r="AM69" s="24">
        <v>0.28399999999999997</v>
      </c>
      <c r="AN69" s="51">
        <v>0.218</v>
      </c>
      <c r="AO69" s="20" t="s">
        <v>38</v>
      </c>
      <c r="AP69" s="20" t="s">
        <v>38</v>
      </c>
      <c r="AQ69" s="51">
        <v>0.21199999999999999</v>
      </c>
      <c r="AR69" s="20" t="s">
        <v>38</v>
      </c>
      <c r="AS69" s="51">
        <v>0.17699999999999999</v>
      </c>
      <c r="AT69" s="20" t="s">
        <v>38</v>
      </c>
      <c r="AU69" s="51">
        <v>0.16300000000000001</v>
      </c>
      <c r="AV69" s="20" t="s">
        <v>38</v>
      </c>
      <c r="AW69" s="20" t="s">
        <v>38</v>
      </c>
      <c r="AX69" s="20" t="s">
        <v>38</v>
      </c>
      <c r="AY69" s="51">
        <v>0.14899999999999999</v>
      </c>
      <c r="AZ69" s="51">
        <v>0.16600000000000001</v>
      </c>
      <c r="BA69" s="51">
        <v>0.159</v>
      </c>
      <c r="BB69" s="52">
        <v>0.13</v>
      </c>
      <c r="BC69" s="51">
        <v>0.17799999999999999</v>
      </c>
      <c r="BD69" s="62">
        <v>0.192</v>
      </c>
      <c r="BE69" s="20" t="s">
        <v>38</v>
      </c>
      <c r="BF69" s="53">
        <v>0.16750000000000001</v>
      </c>
      <c r="BG69" s="51">
        <v>0.25650000000000001</v>
      </c>
      <c r="BH69" s="20" t="s">
        <v>38</v>
      </c>
      <c r="BI69" s="20" t="s">
        <v>38</v>
      </c>
      <c r="BJ69" s="20" t="s">
        <v>38</v>
      </c>
      <c r="BK69" s="38">
        <v>0.2475</v>
      </c>
      <c r="BL69" s="20" t="s">
        <v>38</v>
      </c>
      <c r="BM69" s="20" t="s">
        <v>38</v>
      </c>
      <c r="BN69" s="20" t="s">
        <v>38</v>
      </c>
      <c r="BO69" s="20" t="s">
        <v>38</v>
      </c>
      <c r="BP69" s="20" t="s">
        <v>38</v>
      </c>
      <c r="BQ69" s="38">
        <v>0.16250000000000001</v>
      </c>
      <c r="BR69" s="56">
        <v>0.17199999999999999</v>
      </c>
      <c r="BS69" s="56">
        <v>0.154</v>
      </c>
      <c r="BT69" s="56">
        <v>0.1545</v>
      </c>
      <c r="BU69" s="42">
        <v>0.14199999999999999</v>
      </c>
      <c r="BV69" s="20" t="s">
        <v>38</v>
      </c>
      <c r="BW69" s="20" t="s">
        <v>38</v>
      </c>
      <c r="BX69" s="20" t="s">
        <v>38</v>
      </c>
      <c r="BY69" s="85">
        <f>(0.25+0.239)/2</f>
        <v>0.2445</v>
      </c>
      <c r="BZ69" s="85">
        <f>(0.362+0.351)/2</f>
        <v>0.35649999999999998</v>
      </c>
      <c r="CA69" s="87">
        <v>0.27600000000000002</v>
      </c>
    </row>
    <row r="70" spans="1:79">
      <c r="A70" s="29" t="s">
        <v>21</v>
      </c>
      <c r="B70" s="82">
        <v>254460.43630199999</v>
      </c>
      <c r="C70" s="82">
        <v>4505681.1553699998</v>
      </c>
      <c r="D70" s="20">
        <v>0.29599999999999999</v>
      </c>
      <c r="E70" s="20">
        <v>0.23200000000000001</v>
      </c>
      <c r="F70" s="20">
        <v>0.2515</v>
      </c>
      <c r="G70" s="20">
        <v>0.26</v>
      </c>
      <c r="H70" s="20">
        <v>0.2475</v>
      </c>
      <c r="I70" s="20">
        <v>0.18149999999999999</v>
      </c>
      <c r="J70" s="20">
        <v>0.17899999999999999</v>
      </c>
      <c r="K70" s="20">
        <v>0.14100000000000001</v>
      </c>
      <c r="L70" s="20">
        <v>0.17949999999999999</v>
      </c>
      <c r="M70" s="20">
        <v>0.1615</v>
      </c>
      <c r="N70" s="16">
        <v>0.18049999999999999</v>
      </c>
      <c r="O70" s="16">
        <v>0.14200000000000002</v>
      </c>
      <c r="P70" s="20" t="s">
        <v>38</v>
      </c>
      <c r="Q70" s="16">
        <v>0.16750000000000001</v>
      </c>
      <c r="R70" s="20" t="s">
        <v>38</v>
      </c>
      <c r="S70" s="20" t="s">
        <v>38</v>
      </c>
      <c r="T70" s="16">
        <v>0.26200000000000001</v>
      </c>
      <c r="U70" s="16">
        <v>0.28199999999999997</v>
      </c>
      <c r="V70" s="16">
        <v>0.32600000000000001</v>
      </c>
      <c r="W70" s="16">
        <v>0.29699999999999999</v>
      </c>
      <c r="X70" s="19">
        <v>0.3</v>
      </c>
      <c r="Y70" s="20" t="s">
        <v>38</v>
      </c>
      <c r="Z70" s="19">
        <v>0.314</v>
      </c>
      <c r="AA70" s="19">
        <v>0.29499999999999998</v>
      </c>
      <c r="AB70" s="20" t="s">
        <v>38</v>
      </c>
      <c r="AC70" s="7">
        <v>0.33200000000000002</v>
      </c>
      <c r="AD70" s="24">
        <v>0.29399999999999998</v>
      </c>
      <c r="AE70" s="24" t="s">
        <v>38</v>
      </c>
      <c r="AF70" s="24">
        <v>0.17699999999999999</v>
      </c>
      <c r="AG70" s="24">
        <v>0.18</v>
      </c>
      <c r="AH70" s="24">
        <v>0.186</v>
      </c>
      <c r="AI70" s="24" t="s">
        <v>38</v>
      </c>
      <c r="AJ70" s="24" t="s">
        <v>38</v>
      </c>
      <c r="AK70" s="24">
        <v>0.183</v>
      </c>
      <c r="AL70" s="24">
        <v>0.184</v>
      </c>
      <c r="AM70" s="24">
        <v>0.30299999999999999</v>
      </c>
      <c r="AN70" s="51">
        <v>0.22700000000000001</v>
      </c>
      <c r="AO70" s="20" t="s">
        <v>38</v>
      </c>
      <c r="AP70" s="20" t="s">
        <v>38</v>
      </c>
      <c r="AQ70" s="51">
        <v>0.19900000000000001</v>
      </c>
      <c r="AR70" s="20" t="s">
        <v>38</v>
      </c>
      <c r="AS70" s="51">
        <v>0.19600000000000001</v>
      </c>
      <c r="AT70" s="20" t="s">
        <v>38</v>
      </c>
      <c r="AU70" s="51">
        <v>0.17299999999999999</v>
      </c>
      <c r="AV70" s="20" t="s">
        <v>38</v>
      </c>
      <c r="AW70" s="20" t="s">
        <v>38</v>
      </c>
      <c r="AX70" s="20" t="s">
        <v>38</v>
      </c>
      <c r="AY70" s="51">
        <v>0.16900000000000001</v>
      </c>
      <c r="AZ70" s="51">
        <v>0.152</v>
      </c>
      <c r="BA70" s="51">
        <v>0.157</v>
      </c>
      <c r="BB70" s="52">
        <v>0.11699999999999999</v>
      </c>
      <c r="BC70" s="51">
        <v>0.1095</v>
      </c>
      <c r="BD70" s="62">
        <v>0.17049999999999998</v>
      </c>
      <c r="BE70" s="20" t="s">
        <v>38</v>
      </c>
      <c r="BF70" s="53">
        <v>8.5999999999999993E-2</v>
      </c>
      <c r="BG70" s="51">
        <v>0.27349999999999997</v>
      </c>
      <c r="BH70" s="20" t="s">
        <v>38</v>
      </c>
      <c r="BI70" s="20" t="s">
        <v>38</v>
      </c>
      <c r="BJ70" s="20" t="s">
        <v>38</v>
      </c>
      <c r="BK70" s="38">
        <v>0.26950000000000002</v>
      </c>
      <c r="BL70" s="20" t="s">
        <v>38</v>
      </c>
      <c r="BM70" s="20" t="s">
        <v>38</v>
      </c>
      <c r="BN70" s="20" t="s">
        <v>38</v>
      </c>
      <c r="BO70" s="20" t="s">
        <v>38</v>
      </c>
      <c r="BP70" s="20" t="s">
        <v>38</v>
      </c>
      <c r="BQ70" s="38">
        <v>0.14699999999999999</v>
      </c>
      <c r="BR70" s="56">
        <v>0.1575</v>
      </c>
      <c r="BS70" s="56">
        <v>0.14600000000000002</v>
      </c>
      <c r="BT70" s="56">
        <v>0.14399999999999999</v>
      </c>
      <c r="BU70" s="42">
        <v>0.13400000000000001</v>
      </c>
      <c r="BV70" s="20" t="s">
        <v>38</v>
      </c>
      <c r="BW70" s="20" t="s">
        <v>38</v>
      </c>
      <c r="BX70" s="20" t="s">
        <v>38</v>
      </c>
      <c r="BY70" s="85">
        <f>(0.244+0.22)/2</f>
        <v>0.23199999999999998</v>
      </c>
      <c r="BZ70" s="85">
        <f>(0.338+0.319)/2</f>
        <v>0.32850000000000001</v>
      </c>
      <c r="CA70" s="87">
        <v>0.27700000000000002</v>
      </c>
    </row>
    <row r="71" spans="1:79">
      <c r="A71" s="29">
        <v>54</v>
      </c>
      <c r="B71" s="82">
        <v>254459.10776799999</v>
      </c>
      <c r="C71" s="82">
        <v>4505704.5320499996</v>
      </c>
      <c r="D71" s="20" t="s">
        <v>38</v>
      </c>
      <c r="E71" s="20" t="s">
        <v>38</v>
      </c>
      <c r="F71" s="20" t="s">
        <v>38</v>
      </c>
      <c r="G71" s="20" t="s">
        <v>38</v>
      </c>
      <c r="H71" s="20" t="s">
        <v>38</v>
      </c>
      <c r="I71" s="20" t="s">
        <v>38</v>
      </c>
      <c r="J71" s="20" t="s">
        <v>38</v>
      </c>
      <c r="K71" s="20" t="s">
        <v>38</v>
      </c>
      <c r="L71" s="20" t="s">
        <v>38</v>
      </c>
      <c r="M71" s="20" t="s">
        <v>38</v>
      </c>
      <c r="N71" s="20" t="s">
        <v>38</v>
      </c>
      <c r="O71" s="20" t="s">
        <v>38</v>
      </c>
      <c r="P71" s="20" t="s">
        <v>38</v>
      </c>
      <c r="Q71" s="20" t="s">
        <v>38</v>
      </c>
      <c r="R71" s="20" t="s">
        <v>38</v>
      </c>
      <c r="S71" s="20" t="s">
        <v>38</v>
      </c>
      <c r="T71" s="20" t="s">
        <v>38</v>
      </c>
      <c r="U71" s="20" t="s">
        <v>38</v>
      </c>
      <c r="V71" s="20" t="s">
        <v>38</v>
      </c>
      <c r="W71" s="20" t="s">
        <v>38</v>
      </c>
      <c r="X71" s="20" t="s">
        <v>38</v>
      </c>
      <c r="Y71" s="20" t="s">
        <v>38</v>
      </c>
      <c r="Z71" s="20" t="s">
        <v>38</v>
      </c>
      <c r="AA71" s="20" t="s">
        <v>38</v>
      </c>
      <c r="AB71" s="20" t="s">
        <v>38</v>
      </c>
      <c r="AC71" s="20" t="s">
        <v>38</v>
      </c>
      <c r="AD71" s="20" t="s">
        <v>38</v>
      </c>
      <c r="AE71" s="20" t="s">
        <v>38</v>
      </c>
      <c r="AF71" s="20" t="s">
        <v>38</v>
      </c>
      <c r="AG71" s="20" t="s">
        <v>38</v>
      </c>
      <c r="AH71" s="20" t="s">
        <v>38</v>
      </c>
      <c r="AI71" s="20" t="s">
        <v>38</v>
      </c>
      <c r="AJ71" s="20" t="s">
        <v>38</v>
      </c>
      <c r="AK71" s="20" t="s">
        <v>38</v>
      </c>
      <c r="AL71" s="20" t="s">
        <v>38</v>
      </c>
      <c r="AM71" s="20" t="s">
        <v>38</v>
      </c>
      <c r="AN71" s="20" t="s">
        <v>38</v>
      </c>
      <c r="AO71" s="20" t="s">
        <v>38</v>
      </c>
      <c r="AP71" s="20" t="s">
        <v>38</v>
      </c>
      <c r="AQ71" s="20" t="s">
        <v>38</v>
      </c>
      <c r="AR71" s="20" t="s">
        <v>38</v>
      </c>
      <c r="AS71" s="20" t="s">
        <v>38</v>
      </c>
      <c r="AT71" s="20" t="s">
        <v>38</v>
      </c>
      <c r="AU71" s="20" t="s">
        <v>38</v>
      </c>
      <c r="AV71" s="20" t="s">
        <v>38</v>
      </c>
      <c r="AW71" s="20" t="s">
        <v>38</v>
      </c>
      <c r="AX71" s="20" t="s">
        <v>38</v>
      </c>
      <c r="AY71" s="20" t="s">
        <v>38</v>
      </c>
      <c r="AZ71" s="20" t="s">
        <v>38</v>
      </c>
      <c r="BA71" s="20" t="s">
        <v>38</v>
      </c>
      <c r="BB71" s="20" t="s">
        <v>38</v>
      </c>
      <c r="BC71" s="20" t="s">
        <v>38</v>
      </c>
      <c r="BD71" s="20" t="s">
        <v>38</v>
      </c>
      <c r="BE71" s="20" t="s">
        <v>38</v>
      </c>
      <c r="BF71" s="20" t="s">
        <v>38</v>
      </c>
      <c r="BG71" s="20" t="s">
        <v>38</v>
      </c>
      <c r="BH71" s="20" t="s">
        <v>38</v>
      </c>
      <c r="BI71" s="20" t="s">
        <v>38</v>
      </c>
      <c r="BJ71" s="20" t="s">
        <v>38</v>
      </c>
      <c r="BK71" s="20" t="s">
        <v>38</v>
      </c>
      <c r="BL71" s="20" t="s">
        <v>38</v>
      </c>
      <c r="BM71" s="20" t="s">
        <v>38</v>
      </c>
      <c r="BN71" s="20" t="s">
        <v>38</v>
      </c>
      <c r="BO71" s="20" t="s">
        <v>38</v>
      </c>
      <c r="BP71" s="20" t="s">
        <v>38</v>
      </c>
      <c r="BQ71" s="20" t="s">
        <v>38</v>
      </c>
      <c r="BR71" s="20" t="s">
        <v>38</v>
      </c>
      <c r="BS71" s="20" t="s">
        <v>38</v>
      </c>
      <c r="BT71" s="20" t="s">
        <v>38</v>
      </c>
      <c r="BU71" s="20" t="s">
        <v>38</v>
      </c>
      <c r="BV71" s="20" t="s">
        <v>38</v>
      </c>
      <c r="BW71" s="20" t="s">
        <v>38</v>
      </c>
      <c r="BX71" s="20" t="s">
        <v>38</v>
      </c>
      <c r="BY71" s="61" t="s">
        <v>38</v>
      </c>
      <c r="BZ71" s="61" t="s">
        <v>38</v>
      </c>
      <c r="CA71" s="87" t="s">
        <v>38</v>
      </c>
    </row>
    <row r="72" spans="1:79">
      <c r="A72" s="29">
        <v>55</v>
      </c>
      <c r="B72" s="82">
        <v>254464.43786400001</v>
      </c>
      <c r="C72" s="82">
        <v>4505623.9690100001</v>
      </c>
      <c r="D72" s="20">
        <v>0.30049999999999999</v>
      </c>
      <c r="E72" s="20">
        <v>0.28749999999999998</v>
      </c>
      <c r="F72" s="20">
        <v>0.3085</v>
      </c>
      <c r="G72" s="20">
        <v>0.307</v>
      </c>
      <c r="H72" s="20">
        <v>0.29699999999999999</v>
      </c>
      <c r="I72" s="20">
        <v>0.249</v>
      </c>
      <c r="J72" s="20">
        <v>0.23449999999999999</v>
      </c>
      <c r="K72" s="20">
        <v>0.2145</v>
      </c>
      <c r="L72" s="20" t="s">
        <v>38</v>
      </c>
      <c r="M72" s="20" t="s">
        <v>38</v>
      </c>
      <c r="N72" s="20" t="s">
        <v>38</v>
      </c>
      <c r="O72" s="20" t="s">
        <v>38</v>
      </c>
      <c r="P72" s="20" t="s">
        <v>38</v>
      </c>
      <c r="Q72" s="20" t="s">
        <v>38</v>
      </c>
      <c r="R72" s="20" t="s">
        <v>38</v>
      </c>
      <c r="S72" s="20" t="s">
        <v>38</v>
      </c>
      <c r="T72" s="23">
        <v>0.32900000000000001</v>
      </c>
      <c r="U72" s="23">
        <v>0.307</v>
      </c>
      <c r="V72" s="23" t="s">
        <v>38</v>
      </c>
      <c r="W72" s="23">
        <v>0.38300000000000001</v>
      </c>
      <c r="X72" s="19">
        <v>0.33100000000000002</v>
      </c>
      <c r="Y72" s="7">
        <v>0.32800000000000001</v>
      </c>
      <c r="Z72" s="19">
        <v>0.32700000000000001</v>
      </c>
      <c r="AA72" s="19">
        <v>0.314</v>
      </c>
      <c r="AB72" s="19">
        <v>0.33700000000000002</v>
      </c>
      <c r="AC72" s="7">
        <v>0.33400000000000002</v>
      </c>
      <c r="AD72" s="24">
        <v>0.32700000000000001</v>
      </c>
      <c r="AE72" s="24">
        <v>0.29099999999999998</v>
      </c>
      <c r="AF72" s="24">
        <v>0.253</v>
      </c>
      <c r="AG72" s="24">
        <v>0.25700000000000001</v>
      </c>
      <c r="AH72" s="24">
        <v>0.252</v>
      </c>
      <c r="AI72" s="24">
        <v>0.25600000000000001</v>
      </c>
      <c r="AJ72" s="24">
        <v>0.222</v>
      </c>
      <c r="AK72" s="24">
        <v>0.248</v>
      </c>
      <c r="AL72" s="24">
        <v>0.247</v>
      </c>
      <c r="AM72" s="24">
        <v>0.26600000000000001</v>
      </c>
      <c r="AN72" s="51">
        <v>0.28199999999999997</v>
      </c>
      <c r="AO72" s="51">
        <v>0.20799999999999999</v>
      </c>
      <c r="AP72" s="20" t="s">
        <v>38</v>
      </c>
      <c r="AQ72" s="51">
        <v>0.27300000000000002</v>
      </c>
      <c r="AR72" s="51">
        <v>0.26200000000000001</v>
      </c>
      <c r="AS72" s="51">
        <v>0.23300000000000001</v>
      </c>
      <c r="AT72" s="51">
        <v>0.24299999999999999</v>
      </c>
      <c r="AU72" s="51">
        <v>0.24399999999999999</v>
      </c>
      <c r="AV72" s="51">
        <v>0.251</v>
      </c>
      <c r="AW72" s="51">
        <v>0.218</v>
      </c>
      <c r="AX72" s="51">
        <v>0.20899999999999999</v>
      </c>
      <c r="AY72" s="51">
        <v>0.21299999999999999</v>
      </c>
      <c r="AZ72" s="51">
        <v>0.20599999999999999</v>
      </c>
      <c r="BA72" s="51">
        <v>0.20699999999999999</v>
      </c>
      <c r="BB72" s="52">
        <v>0.1605</v>
      </c>
      <c r="BC72" s="51">
        <v>0.2155</v>
      </c>
      <c r="BD72" s="62">
        <v>0.24299999999999999</v>
      </c>
      <c r="BE72" s="53">
        <v>0.23499999999999999</v>
      </c>
      <c r="BF72" s="53">
        <v>0.17699999999999999</v>
      </c>
      <c r="BG72" s="51">
        <v>0.24049999999999999</v>
      </c>
      <c r="BH72" s="38">
        <v>0.27150000000000002</v>
      </c>
      <c r="BI72" s="38">
        <v>0.29199999999999998</v>
      </c>
      <c r="BJ72" s="38">
        <v>0.29649999999999999</v>
      </c>
      <c r="BK72" s="38">
        <v>0.28599999999999998</v>
      </c>
      <c r="BL72" s="38">
        <v>0.27950000000000003</v>
      </c>
      <c r="BM72" s="38">
        <v>0.28199999999999997</v>
      </c>
      <c r="BN72" s="55" t="s">
        <v>38</v>
      </c>
      <c r="BO72" s="51">
        <v>0.30199999999999999</v>
      </c>
      <c r="BP72" s="38">
        <v>0.28499999999999998</v>
      </c>
      <c r="BQ72" s="38">
        <v>0.22450000000000001</v>
      </c>
      <c r="BR72" s="56">
        <v>0.2215</v>
      </c>
      <c r="BS72" s="56">
        <v>0.22650000000000001</v>
      </c>
      <c r="BT72" s="56">
        <v>0.22850000000000001</v>
      </c>
      <c r="BU72" s="42">
        <v>0.218</v>
      </c>
      <c r="BV72" s="56">
        <v>0.184</v>
      </c>
      <c r="BW72" s="20" t="s">
        <v>38</v>
      </c>
      <c r="BX72" s="20" t="s">
        <v>38</v>
      </c>
      <c r="BY72" s="85">
        <f>(0.286+0.288)/2</f>
        <v>0.28699999999999998</v>
      </c>
      <c r="BZ72" s="85">
        <f>(0.41+0.401)/2</f>
        <v>0.40549999999999997</v>
      </c>
      <c r="CA72" s="87">
        <v>0.3105</v>
      </c>
    </row>
    <row r="73" spans="1:79">
      <c r="A73" s="29" t="s">
        <v>22</v>
      </c>
      <c r="B73" s="82">
        <v>254465.50736700001</v>
      </c>
      <c r="C73" s="82">
        <v>4505625.0454799999</v>
      </c>
      <c r="D73" s="20">
        <v>0.26100000000000001</v>
      </c>
      <c r="E73" s="20">
        <v>0.2485</v>
      </c>
      <c r="F73" s="20">
        <v>0.26400000000000001</v>
      </c>
      <c r="G73" s="20">
        <v>0.25700000000000001</v>
      </c>
      <c r="H73" s="20">
        <v>0.25600000000000001</v>
      </c>
      <c r="I73" s="20">
        <v>0.20599999999999999</v>
      </c>
      <c r="J73" s="20">
        <v>0.19750000000000001</v>
      </c>
      <c r="K73" s="20">
        <v>0.1555</v>
      </c>
      <c r="L73" s="20">
        <v>0.1615</v>
      </c>
      <c r="M73" s="20" t="s">
        <v>38</v>
      </c>
      <c r="N73" s="16">
        <v>0.1565</v>
      </c>
      <c r="O73" s="16">
        <v>0.14849999999999999</v>
      </c>
      <c r="P73" s="20" t="s">
        <v>38</v>
      </c>
      <c r="Q73" s="16">
        <v>0.18099999999999999</v>
      </c>
      <c r="R73" s="16">
        <v>0.2155</v>
      </c>
      <c r="S73" s="20" t="s">
        <v>38</v>
      </c>
      <c r="T73" s="20" t="s">
        <v>38</v>
      </c>
      <c r="U73" s="20" t="s">
        <v>38</v>
      </c>
      <c r="V73" s="20" t="s">
        <v>38</v>
      </c>
      <c r="W73" s="20" t="s">
        <v>38</v>
      </c>
      <c r="X73" s="20" t="s">
        <v>38</v>
      </c>
      <c r="Y73" s="20" t="s">
        <v>38</v>
      </c>
      <c r="Z73" s="20" t="s">
        <v>38</v>
      </c>
      <c r="AA73" s="20" t="s">
        <v>38</v>
      </c>
      <c r="AB73" s="20" t="s">
        <v>38</v>
      </c>
      <c r="AC73" s="20" t="s">
        <v>38</v>
      </c>
      <c r="AD73" s="20" t="s">
        <v>38</v>
      </c>
      <c r="AE73" s="20" t="s">
        <v>38</v>
      </c>
      <c r="AF73" s="24">
        <v>0.19900000000000001</v>
      </c>
      <c r="AG73" s="24">
        <v>0.21299999999999999</v>
      </c>
      <c r="AH73" s="24" t="s">
        <v>38</v>
      </c>
      <c r="AI73" s="24" t="s">
        <v>38</v>
      </c>
      <c r="AJ73" s="24" t="s">
        <v>38</v>
      </c>
      <c r="AK73" s="24">
        <v>0.17399999999999999</v>
      </c>
      <c r="AL73" s="24">
        <v>0.19900000000000001</v>
      </c>
      <c r="AM73" s="24">
        <v>0.33300000000000002</v>
      </c>
      <c r="AN73" s="51" t="s">
        <v>38</v>
      </c>
      <c r="AO73" s="51" t="s">
        <v>38</v>
      </c>
      <c r="AP73" s="51" t="s">
        <v>38</v>
      </c>
      <c r="AQ73" s="51" t="s">
        <v>38</v>
      </c>
      <c r="AR73" s="51" t="s">
        <v>38</v>
      </c>
      <c r="AS73" s="51">
        <v>0.193</v>
      </c>
      <c r="AT73" s="51" t="s">
        <v>38</v>
      </c>
      <c r="AU73" s="51">
        <v>0.19700000000000001</v>
      </c>
      <c r="AV73" s="51" t="s">
        <v>38</v>
      </c>
      <c r="AW73" s="51" t="s">
        <v>38</v>
      </c>
      <c r="AX73" s="51" t="s">
        <v>38</v>
      </c>
      <c r="AY73" s="51">
        <v>0.214</v>
      </c>
      <c r="AZ73" s="51">
        <v>0.20399999999999999</v>
      </c>
      <c r="BA73" s="55" t="s">
        <v>38</v>
      </c>
      <c r="BB73" s="52">
        <v>0.155</v>
      </c>
      <c r="BC73" s="51">
        <v>0.20450000000000002</v>
      </c>
      <c r="BD73" s="62">
        <v>0.29199999999999998</v>
      </c>
      <c r="BE73" s="53" t="s">
        <v>38</v>
      </c>
      <c r="BF73" s="53">
        <v>0.17699999999999999</v>
      </c>
      <c r="BG73" s="51" t="s">
        <v>38</v>
      </c>
      <c r="BH73" s="38" t="s">
        <v>38</v>
      </c>
      <c r="BI73" s="38" t="s">
        <v>38</v>
      </c>
      <c r="BJ73" s="38" t="s">
        <v>38</v>
      </c>
      <c r="BK73" s="38">
        <v>0.24099999999999999</v>
      </c>
      <c r="BL73" s="38" t="s">
        <v>38</v>
      </c>
      <c r="BM73" s="38" t="s">
        <v>38</v>
      </c>
      <c r="BN73" s="55" t="s">
        <v>38</v>
      </c>
      <c r="BO73" s="51" t="s">
        <v>38</v>
      </c>
      <c r="BP73" s="38" t="s">
        <v>38</v>
      </c>
      <c r="BQ73" s="38">
        <v>0.182</v>
      </c>
      <c r="BR73" s="56">
        <v>0.18049999999999999</v>
      </c>
      <c r="BS73" s="56" t="s">
        <v>38</v>
      </c>
      <c r="BT73" s="56" t="s">
        <v>38</v>
      </c>
      <c r="BU73" s="42">
        <v>0.17249999999999999</v>
      </c>
      <c r="BV73" s="56" t="s">
        <v>38</v>
      </c>
      <c r="BW73" s="42" t="s">
        <v>38</v>
      </c>
      <c r="BX73" s="42" t="s">
        <v>38</v>
      </c>
      <c r="BY73" s="85">
        <f>(0.272+0.29)/2</f>
        <v>0.28100000000000003</v>
      </c>
      <c r="BZ73" s="85">
        <f>(0.354+0.36)/2</f>
        <v>0.35699999999999998</v>
      </c>
      <c r="CA73" s="87">
        <v>0.26600000000000001</v>
      </c>
    </row>
    <row r="74" spans="1:79">
      <c r="A74" s="29" t="s">
        <v>23</v>
      </c>
      <c r="B74" s="82">
        <v>254465.36725000001</v>
      </c>
      <c r="C74" s="82">
        <v>4505622.9550599996</v>
      </c>
      <c r="D74" s="20">
        <v>0.29099999999999998</v>
      </c>
      <c r="E74" s="20">
        <v>0.26600000000000001</v>
      </c>
      <c r="F74" s="20">
        <v>0.26400000000000001</v>
      </c>
      <c r="G74" s="20">
        <v>0.27050000000000002</v>
      </c>
      <c r="H74" s="20">
        <v>0.26750000000000002</v>
      </c>
      <c r="I74" s="20">
        <v>0.214</v>
      </c>
      <c r="J74" s="20">
        <v>0.20200000000000001</v>
      </c>
      <c r="K74" s="20">
        <v>0.16750000000000001</v>
      </c>
      <c r="L74" s="20">
        <v>0.17199999999999999</v>
      </c>
      <c r="M74" s="20">
        <v>0.155</v>
      </c>
      <c r="N74" s="16">
        <v>0.16750000000000001</v>
      </c>
      <c r="O74" s="16">
        <v>0.1575</v>
      </c>
      <c r="P74" s="20" t="s">
        <v>38</v>
      </c>
      <c r="Q74" s="16">
        <v>0.155</v>
      </c>
      <c r="R74" s="20" t="s">
        <v>38</v>
      </c>
      <c r="S74" s="16">
        <v>0.192</v>
      </c>
      <c r="T74" s="16">
        <v>0.28599999999999998</v>
      </c>
      <c r="U74" s="16">
        <v>0.28100000000000003</v>
      </c>
      <c r="V74" s="20" t="s">
        <v>38</v>
      </c>
      <c r="W74" s="16">
        <v>0.32</v>
      </c>
      <c r="X74" s="19">
        <v>0.312</v>
      </c>
      <c r="Y74" s="20" t="s">
        <v>38</v>
      </c>
      <c r="Z74" s="19">
        <v>0.316</v>
      </c>
      <c r="AA74" s="19">
        <v>0.309</v>
      </c>
      <c r="AB74" s="20" t="s">
        <v>38</v>
      </c>
      <c r="AC74" s="7">
        <v>0.307</v>
      </c>
      <c r="AD74" s="24">
        <v>0.29299999999999998</v>
      </c>
      <c r="AE74" s="20" t="s">
        <v>38</v>
      </c>
      <c r="AF74" s="24">
        <v>0.21</v>
      </c>
      <c r="AG74" s="24">
        <v>0.20899999999999999</v>
      </c>
      <c r="AH74" s="24">
        <v>0.19500000000000001</v>
      </c>
      <c r="AI74" s="24" t="s">
        <v>38</v>
      </c>
      <c r="AJ74" s="24" t="s">
        <v>38</v>
      </c>
      <c r="AK74" s="24">
        <v>0.183</v>
      </c>
      <c r="AL74" s="24">
        <v>0.19900000000000001</v>
      </c>
      <c r="AM74" s="24">
        <v>0.26</v>
      </c>
      <c r="AN74" s="51">
        <v>0.24399999999999999</v>
      </c>
      <c r="AO74" s="51" t="s">
        <v>38</v>
      </c>
      <c r="AP74" s="51" t="s">
        <v>38</v>
      </c>
      <c r="AQ74" s="51">
        <v>0.224</v>
      </c>
      <c r="AR74" s="51" t="s">
        <v>38</v>
      </c>
      <c r="AS74" s="51">
        <v>0.21099999999999999</v>
      </c>
      <c r="AT74" s="51" t="s">
        <v>38</v>
      </c>
      <c r="AU74" s="51">
        <v>0.20599999999999999</v>
      </c>
      <c r="AV74" s="51" t="s">
        <v>38</v>
      </c>
      <c r="AW74" s="51" t="s">
        <v>38</v>
      </c>
      <c r="AX74" s="51" t="s">
        <v>38</v>
      </c>
      <c r="AY74" s="51">
        <v>0.16400000000000001</v>
      </c>
      <c r="AZ74" s="51">
        <v>0.17199999999999999</v>
      </c>
      <c r="BA74" s="51">
        <v>0.16900000000000001</v>
      </c>
      <c r="BB74" s="52">
        <v>0.127</v>
      </c>
      <c r="BC74" s="51">
        <v>0.189</v>
      </c>
      <c r="BD74" s="62">
        <v>0.19500000000000001</v>
      </c>
      <c r="BE74" s="53">
        <v>0.1835</v>
      </c>
      <c r="BF74" s="53">
        <v>0.14200000000000002</v>
      </c>
      <c r="BG74" s="51">
        <v>0.216</v>
      </c>
      <c r="BH74" s="38" t="s">
        <v>38</v>
      </c>
      <c r="BI74" s="38" t="s">
        <v>38</v>
      </c>
      <c r="BJ74" s="38" t="s">
        <v>38</v>
      </c>
      <c r="BK74" s="38">
        <v>0.245</v>
      </c>
      <c r="BL74" s="38" t="s">
        <v>38</v>
      </c>
      <c r="BM74" s="38" t="s">
        <v>38</v>
      </c>
      <c r="BN74" s="55" t="s">
        <v>38</v>
      </c>
      <c r="BO74" s="51" t="s">
        <v>38</v>
      </c>
      <c r="BP74" s="38" t="s">
        <v>38</v>
      </c>
      <c r="BQ74" s="38">
        <v>0.1915</v>
      </c>
      <c r="BR74" s="56">
        <v>0.19</v>
      </c>
      <c r="BS74" s="56">
        <v>0.186</v>
      </c>
      <c r="BT74" s="56">
        <v>0.1905</v>
      </c>
      <c r="BU74" s="42">
        <v>0.1825</v>
      </c>
      <c r="BV74" s="56" t="s">
        <v>38</v>
      </c>
      <c r="BW74" s="42" t="s">
        <v>38</v>
      </c>
      <c r="BX74" s="42" t="s">
        <v>38</v>
      </c>
      <c r="BY74" s="85">
        <f>(0.287+0.285)/2</f>
        <v>0.28599999999999998</v>
      </c>
      <c r="BZ74" s="85">
        <f>(0.368+0.371)/2</f>
        <v>0.3695</v>
      </c>
      <c r="CA74" s="87">
        <v>0.27800000000000002</v>
      </c>
    </row>
    <row r="75" spans="1:79">
      <c r="A75" s="29" t="s">
        <v>24</v>
      </c>
      <c r="B75" s="82">
        <v>254463.46215599999</v>
      </c>
      <c r="C75" s="82">
        <v>4505623.0080000004</v>
      </c>
      <c r="D75" s="20">
        <v>0.30249999999999999</v>
      </c>
      <c r="E75" s="20">
        <v>0.29399999999999998</v>
      </c>
      <c r="F75" s="20">
        <v>0.30549999999999999</v>
      </c>
      <c r="G75" s="20">
        <v>0.312</v>
      </c>
      <c r="H75" s="20">
        <v>0.28899999999999998</v>
      </c>
      <c r="I75" s="20">
        <v>0.2475</v>
      </c>
      <c r="J75" s="20">
        <v>0.23399999999999999</v>
      </c>
      <c r="K75" s="20">
        <v>0.1925</v>
      </c>
      <c r="L75" s="20">
        <v>0.183</v>
      </c>
      <c r="M75" s="20">
        <v>0.16899999999999998</v>
      </c>
      <c r="N75" s="16">
        <v>0.19850000000000001</v>
      </c>
      <c r="O75" s="16">
        <v>0.17649999999999999</v>
      </c>
      <c r="P75" s="20" t="s">
        <v>38</v>
      </c>
      <c r="Q75" s="16">
        <v>0.17899999999999999</v>
      </c>
      <c r="R75" s="20" t="s">
        <v>38</v>
      </c>
      <c r="S75" s="20" t="s">
        <v>38</v>
      </c>
      <c r="T75" s="16">
        <v>0.32700000000000001</v>
      </c>
      <c r="U75" s="16">
        <v>0.33400000000000002</v>
      </c>
      <c r="V75" s="20" t="s">
        <v>38</v>
      </c>
      <c r="W75" s="16">
        <v>0.38600000000000001</v>
      </c>
      <c r="X75" s="19">
        <v>0.32900000000000001</v>
      </c>
      <c r="Y75" s="20" t="s">
        <v>38</v>
      </c>
      <c r="Z75" s="19">
        <v>0.32500000000000001</v>
      </c>
      <c r="AA75" s="19">
        <v>0.316</v>
      </c>
      <c r="AB75" s="20" t="s">
        <v>38</v>
      </c>
      <c r="AC75" s="7">
        <v>0.34200000000000003</v>
      </c>
      <c r="AD75" s="24">
        <v>0.32500000000000001</v>
      </c>
      <c r="AE75" s="20" t="s">
        <v>38</v>
      </c>
      <c r="AF75" s="24">
        <v>0.25</v>
      </c>
      <c r="AG75" s="24">
        <v>0.22500000000000001</v>
      </c>
      <c r="AH75" s="24">
        <v>0.21099999999999999</v>
      </c>
      <c r="AI75" s="24" t="s">
        <v>38</v>
      </c>
      <c r="AJ75" s="24" t="s">
        <v>38</v>
      </c>
      <c r="AK75" s="24">
        <v>0.20300000000000001</v>
      </c>
      <c r="AL75" s="24">
        <v>0.17499999999999999</v>
      </c>
      <c r="AM75" s="24">
        <v>0.30599999999999999</v>
      </c>
      <c r="AN75" s="51">
        <v>0.253</v>
      </c>
      <c r="AO75" s="51" t="s">
        <v>38</v>
      </c>
      <c r="AP75" s="51" t="s">
        <v>38</v>
      </c>
      <c r="AQ75" s="51">
        <v>0.254</v>
      </c>
      <c r="AR75" s="51" t="s">
        <v>38</v>
      </c>
      <c r="AS75" s="51">
        <v>0.23200000000000001</v>
      </c>
      <c r="AT75" s="51" t="s">
        <v>38</v>
      </c>
      <c r="AU75" s="51">
        <v>0.23899999999999999</v>
      </c>
      <c r="AV75" s="51" t="s">
        <v>38</v>
      </c>
      <c r="AW75" s="51" t="s">
        <v>38</v>
      </c>
      <c r="AX75" s="51" t="s">
        <v>38</v>
      </c>
      <c r="AY75" s="51">
        <v>0.188</v>
      </c>
      <c r="AZ75" s="51">
        <v>0.19400000000000001</v>
      </c>
      <c r="BA75" s="51">
        <v>0.189</v>
      </c>
      <c r="BB75" s="52">
        <v>0.156</v>
      </c>
      <c r="BC75" s="51">
        <v>0.21249999999999999</v>
      </c>
      <c r="BD75" s="62">
        <v>0.219</v>
      </c>
      <c r="BE75" s="53">
        <v>0.21299999999999999</v>
      </c>
      <c r="BF75" s="53">
        <v>0.16500000000000001</v>
      </c>
      <c r="BG75" s="51">
        <v>0.23099999999999998</v>
      </c>
      <c r="BH75" s="38" t="s">
        <v>38</v>
      </c>
      <c r="BI75" s="38" t="s">
        <v>38</v>
      </c>
      <c r="BJ75" s="38" t="s">
        <v>38</v>
      </c>
      <c r="BK75" s="38">
        <v>0.28999999999999998</v>
      </c>
      <c r="BL75" s="38" t="s">
        <v>38</v>
      </c>
      <c r="BM75" s="38" t="s">
        <v>38</v>
      </c>
      <c r="BN75" s="55" t="s">
        <v>38</v>
      </c>
      <c r="BO75" s="51" t="s">
        <v>38</v>
      </c>
      <c r="BP75" s="38" t="s">
        <v>38</v>
      </c>
      <c r="BQ75" s="38">
        <v>0.2155</v>
      </c>
      <c r="BR75" s="56">
        <v>0.2195</v>
      </c>
      <c r="BS75" s="56">
        <v>0.23349999999999999</v>
      </c>
      <c r="BT75" s="56">
        <v>0.21299999999999999</v>
      </c>
      <c r="BU75" s="42">
        <v>0.20350000000000001</v>
      </c>
      <c r="BV75" s="56" t="s">
        <v>38</v>
      </c>
      <c r="BW75" s="42" t="s">
        <v>38</v>
      </c>
      <c r="BX75" s="42" t="s">
        <v>38</v>
      </c>
      <c r="BY75" s="85">
        <f>(0.328+0.326)/2</f>
        <v>0.32700000000000001</v>
      </c>
      <c r="BZ75" s="85">
        <f>(0.448+0.395)/2</f>
        <v>0.42149999999999999</v>
      </c>
      <c r="CA75" s="87">
        <v>0.30549999999999999</v>
      </c>
    </row>
    <row r="76" spans="1:79">
      <c r="A76" s="29" t="s">
        <v>25</v>
      </c>
      <c r="B76" s="82">
        <v>254463.55436400001</v>
      </c>
      <c r="C76" s="82">
        <v>4505624.7253999999</v>
      </c>
      <c r="D76" s="20">
        <v>0.3115</v>
      </c>
      <c r="E76" s="20">
        <v>0.28149999999999997</v>
      </c>
      <c r="F76" s="20">
        <v>0.30549999999999999</v>
      </c>
      <c r="G76" s="20">
        <v>0.29899999999999999</v>
      </c>
      <c r="H76" s="20">
        <v>0.29349999999999998</v>
      </c>
      <c r="I76" s="20">
        <v>0.245</v>
      </c>
      <c r="J76" s="20">
        <v>0.22750000000000001</v>
      </c>
      <c r="K76" s="20">
        <v>0.192</v>
      </c>
      <c r="L76" s="20">
        <v>0.20150000000000001</v>
      </c>
      <c r="M76" s="20">
        <v>0.1825</v>
      </c>
      <c r="N76" s="16">
        <v>0.22</v>
      </c>
      <c r="O76" s="16">
        <v>0.1835</v>
      </c>
      <c r="P76" s="20" t="s">
        <v>38</v>
      </c>
      <c r="Q76" s="16">
        <v>0.22700000000000001</v>
      </c>
      <c r="R76" s="20" t="s">
        <v>38</v>
      </c>
      <c r="S76" s="20" t="s">
        <v>38</v>
      </c>
      <c r="T76" s="16">
        <v>0.32500000000000001</v>
      </c>
      <c r="U76" s="16">
        <v>0.318</v>
      </c>
      <c r="V76" s="20" t="s">
        <v>38</v>
      </c>
      <c r="W76" s="16">
        <v>0.36199999999999999</v>
      </c>
      <c r="X76" s="19">
        <v>0.34300000000000003</v>
      </c>
      <c r="Y76" s="20" t="s">
        <v>38</v>
      </c>
      <c r="Z76" s="19">
        <v>0.34699999999999998</v>
      </c>
      <c r="AA76" s="19">
        <v>0.33800000000000002</v>
      </c>
      <c r="AB76" s="20" t="s">
        <v>38</v>
      </c>
      <c r="AC76" s="7">
        <v>0.32700000000000001</v>
      </c>
      <c r="AD76" s="24">
        <v>0.32800000000000001</v>
      </c>
      <c r="AE76" s="20" t="s">
        <v>38</v>
      </c>
      <c r="AF76" s="24">
        <v>0.246</v>
      </c>
      <c r="AG76" s="24">
        <v>0.22600000000000001</v>
      </c>
      <c r="AH76" s="24">
        <v>0.20200000000000001</v>
      </c>
      <c r="AI76" s="24" t="s">
        <v>38</v>
      </c>
      <c r="AJ76" s="24" t="s">
        <v>38</v>
      </c>
      <c r="AK76" s="24">
        <v>0.222</v>
      </c>
      <c r="AL76" s="24">
        <v>0.20499999999999999</v>
      </c>
      <c r="AM76" s="24">
        <v>0.378</v>
      </c>
      <c r="AN76" s="51">
        <v>0.35099999999999998</v>
      </c>
      <c r="AO76" s="51" t="s">
        <v>38</v>
      </c>
      <c r="AP76" s="51" t="s">
        <v>38</v>
      </c>
      <c r="AQ76" s="51">
        <v>0.25</v>
      </c>
      <c r="AR76" s="51" t="s">
        <v>38</v>
      </c>
      <c r="AS76" s="51">
        <v>0.22800000000000001</v>
      </c>
      <c r="AT76" s="51" t="s">
        <v>38</v>
      </c>
      <c r="AU76" s="51">
        <v>0.23400000000000001</v>
      </c>
      <c r="AV76" s="51" t="s">
        <v>38</v>
      </c>
      <c r="AW76" s="51" t="s">
        <v>38</v>
      </c>
      <c r="AX76" s="51" t="s">
        <v>38</v>
      </c>
      <c r="AY76" s="51">
        <v>0.188</v>
      </c>
      <c r="AZ76" s="51">
        <v>0.20100000000000001</v>
      </c>
      <c r="BA76" s="51">
        <v>0.192</v>
      </c>
      <c r="BB76" s="52">
        <v>0.1575</v>
      </c>
      <c r="BC76" s="51">
        <v>0.217</v>
      </c>
      <c r="BD76" s="62">
        <v>0.217</v>
      </c>
      <c r="BE76" s="53">
        <v>0.20849999999999999</v>
      </c>
      <c r="BF76" s="53">
        <v>0.16600000000000001</v>
      </c>
      <c r="BG76" s="51">
        <v>0.26800000000000002</v>
      </c>
      <c r="BH76" s="38" t="s">
        <v>38</v>
      </c>
      <c r="BI76" s="38" t="s">
        <v>38</v>
      </c>
      <c r="BJ76" s="38" t="s">
        <v>38</v>
      </c>
      <c r="BK76" s="38">
        <v>0.26950000000000002</v>
      </c>
      <c r="BL76" s="38" t="s">
        <v>38</v>
      </c>
      <c r="BM76" s="38" t="s">
        <v>38</v>
      </c>
      <c r="BN76" s="55" t="s">
        <v>38</v>
      </c>
      <c r="BO76" s="51" t="s">
        <v>38</v>
      </c>
      <c r="BP76" s="38" t="s">
        <v>38</v>
      </c>
      <c r="BQ76" s="38">
        <v>0.215</v>
      </c>
      <c r="BR76" s="56">
        <v>0.20899999999999999</v>
      </c>
      <c r="BS76" s="56">
        <v>0.20899999999999999</v>
      </c>
      <c r="BT76" s="56">
        <v>0.21149999999999999</v>
      </c>
      <c r="BU76" s="42">
        <v>0.19350000000000001</v>
      </c>
      <c r="BV76" s="56" t="s">
        <v>38</v>
      </c>
      <c r="BW76" s="42" t="s">
        <v>38</v>
      </c>
      <c r="BX76" s="42" t="s">
        <v>38</v>
      </c>
      <c r="BY76" s="85">
        <f>(0.293+0.314)/2</f>
        <v>0.30349999999999999</v>
      </c>
      <c r="BZ76" s="85">
        <f>(0.403+0.394)/2</f>
        <v>0.39850000000000002</v>
      </c>
      <c r="CA76" s="87">
        <v>0.3115</v>
      </c>
    </row>
    <row r="77" spans="1:79">
      <c r="A77" s="29">
        <v>56</v>
      </c>
      <c r="B77" s="82">
        <v>254461.96097399999</v>
      </c>
      <c r="C77" s="82">
        <v>4505643.9971200004</v>
      </c>
      <c r="D77" s="20" t="s">
        <v>38</v>
      </c>
      <c r="E77" s="20" t="s">
        <v>38</v>
      </c>
      <c r="F77" s="20" t="s">
        <v>38</v>
      </c>
      <c r="G77" s="20" t="s">
        <v>38</v>
      </c>
      <c r="H77" s="20" t="s">
        <v>38</v>
      </c>
      <c r="I77" s="20" t="s">
        <v>38</v>
      </c>
      <c r="J77" s="20" t="s">
        <v>38</v>
      </c>
      <c r="K77" s="20" t="s">
        <v>38</v>
      </c>
      <c r="L77" s="20" t="s">
        <v>38</v>
      </c>
      <c r="M77" s="20" t="s">
        <v>38</v>
      </c>
      <c r="N77" s="20" t="s">
        <v>38</v>
      </c>
      <c r="O77" s="20" t="s">
        <v>38</v>
      </c>
      <c r="P77" s="20" t="s">
        <v>38</v>
      </c>
      <c r="Q77" s="20" t="s">
        <v>38</v>
      </c>
      <c r="R77" s="20" t="s">
        <v>38</v>
      </c>
      <c r="S77" s="20" t="s">
        <v>38</v>
      </c>
      <c r="T77" s="20" t="s">
        <v>38</v>
      </c>
      <c r="U77" s="20" t="s">
        <v>38</v>
      </c>
      <c r="V77" s="20" t="s">
        <v>38</v>
      </c>
      <c r="W77" s="20" t="s">
        <v>38</v>
      </c>
      <c r="X77" s="20" t="s">
        <v>38</v>
      </c>
      <c r="Y77" s="20" t="s">
        <v>38</v>
      </c>
      <c r="Z77" s="20" t="s">
        <v>38</v>
      </c>
      <c r="AA77" s="20" t="s">
        <v>38</v>
      </c>
      <c r="AB77" s="20" t="s">
        <v>38</v>
      </c>
      <c r="AC77" s="20" t="s">
        <v>38</v>
      </c>
      <c r="AD77" s="20" t="s">
        <v>38</v>
      </c>
      <c r="AE77" s="20" t="s">
        <v>38</v>
      </c>
      <c r="AF77" s="20" t="s">
        <v>38</v>
      </c>
      <c r="AG77" s="20" t="s">
        <v>38</v>
      </c>
      <c r="AH77" s="20" t="s">
        <v>38</v>
      </c>
      <c r="AI77" s="20" t="s">
        <v>38</v>
      </c>
      <c r="AJ77" s="20" t="s">
        <v>38</v>
      </c>
      <c r="AK77" s="20" t="s">
        <v>38</v>
      </c>
      <c r="AL77" s="20" t="s">
        <v>38</v>
      </c>
      <c r="AM77" s="20" t="s">
        <v>38</v>
      </c>
      <c r="AN77" s="20" t="s">
        <v>38</v>
      </c>
      <c r="AO77" s="20" t="s">
        <v>38</v>
      </c>
      <c r="AP77" s="20" t="s">
        <v>38</v>
      </c>
      <c r="AQ77" s="20" t="s">
        <v>38</v>
      </c>
      <c r="AR77" s="20" t="s">
        <v>38</v>
      </c>
      <c r="AS77" s="20" t="s">
        <v>38</v>
      </c>
      <c r="AT77" s="20" t="s">
        <v>38</v>
      </c>
      <c r="AU77" s="20" t="s">
        <v>38</v>
      </c>
      <c r="AV77" s="20" t="s">
        <v>38</v>
      </c>
      <c r="AW77" s="20" t="s">
        <v>38</v>
      </c>
      <c r="AX77" s="20" t="s">
        <v>38</v>
      </c>
      <c r="AY77" s="20" t="s">
        <v>38</v>
      </c>
      <c r="AZ77" s="20" t="s">
        <v>38</v>
      </c>
      <c r="BA77" s="20" t="s">
        <v>38</v>
      </c>
      <c r="BB77" s="20" t="s">
        <v>38</v>
      </c>
      <c r="BC77" s="20" t="s">
        <v>38</v>
      </c>
      <c r="BD77" s="20" t="s">
        <v>38</v>
      </c>
      <c r="BE77" s="20" t="s">
        <v>38</v>
      </c>
      <c r="BF77" s="20" t="s">
        <v>38</v>
      </c>
      <c r="BG77" s="20" t="s">
        <v>38</v>
      </c>
      <c r="BH77" s="20" t="s">
        <v>38</v>
      </c>
      <c r="BI77" s="20" t="s">
        <v>38</v>
      </c>
      <c r="BJ77" s="20" t="s">
        <v>38</v>
      </c>
      <c r="BK77" s="20" t="s">
        <v>38</v>
      </c>
      <c r="BL77" s="20" t="s">
        <v>38</v>
      </c>
      <c r="BM77" s="20" t="s">
        <v>38</v>
      </c>
      <c r="BN77" s="20" t="s">
        <v>38</v>
      </c>
      <c r="BO77" s="20" t="s">
        <v>38</v>
      </c>
      <c r="BP77" s="20" t="s">
        <v>38</v>
      </c>
      <c r="BQ77" s="20" t="s">
        <v>38</v>
      </c>
      <c r="BR77" s="20" t="s">
        <v>38</v>
      </c>
      <c r="BS77" s="20" t="s">
        <v>38</v>
      </c>
      <c r="BT77" s="20" t="s">
        <v>38</v>
      </c>
      <c r="BU77" s="20" t="s">
        <v>38</v>
      </c>
      <c r="BV77" s="20" t="s">
        <v>38</v>
      </c>
      <c r="BW77" s="20" t="s">
        <v>38</v>
      </c>
      <c r="BX77" s="20" t="s">
        <v>38</v>
      </c>
      <c r="BY77" s="61" t="s">
        <v>38</v>
      </c>
      <c r="BZ77" s="61" t="s">
        <v>38</v>
      </c>
      <c r="CA77" s="87" t="s">
        <v>38</v>
      </c>
    </row>
    <row r="78" spans="1:79">
      <c r="A78" s="29">
        <v>57</v>
      </c>
      <c r="B78" s="83">
        <v>254450.62839500001</v>
      </c>
      <c r="C78" s="83">
        <v>4505644.3176199999</v>
      </c>
      <c r="D78" s="20" t="s">
        <v>38</v>
      </c>
      <c r="E78" s="20" t="s">
        <v>38</v>
      </c>
      <c r="F78" s="20" t="s">
        <v>38</v>
      </c>
      <c r="G78" s="20" t="s">
        <v>38</v>
      </c>
      <c r="H78" s="20" t="s">
        <v>38</v>
      </c>
      <c r="I78" s="20" t="s">
        <v>38</v>
      </c>
      <c r="J78" s="20" t="s">
        <v>38</v>
      </c>
      <c r="K78" s="20" t="s">
        <v>38</v>
      </c>
      <c r="L78" s="20" t="s">
        <v>38</v>
      </c>
      <c r="M78" s="20" t="s">
        <v>38</v>
      </c>
      <c r="N78" s="20" t="s">
        <v>38</v>
      </c>
      <c r="O78" s="20" t="s">
        <v>38</v>
      </c>
      <c r="P78" s="20" t="s">
        <v>38</v>
      </c>
      <c r="Q78" s="20" t="s">
        <v>38</v>
      </c>
      <c r="R78" s="20" t="s">
        <v>38</v>
      </c>
      <c r="S78" s="20" t="s">
        <v>38</v>
      </c>
      <c r="T78" s="20" t="s">
        <v>38</v>
      </c>
      <c r="U78" s="20" t="s">
        <v>38</v>
      </c>
      <c r="V78" s="20" t="s">
        <v>38</v>
      </c>
      <c r="W78" s="20" t="s">
        <v>38</v>
      </c>
      <c r="X78" s="20" t="s">
        <v>38</v>
      </c>
      <c r="Y78" s="20" t="s">
        <v>38</v>
      </c>
      <c r="Z78" s="20" t="s">
        <v>38</v>
      </c>
      <c r="AA78" s="20" t="s">
        <v>38</v>
      </c>
      <c r="AB78" s="20" t="s">
        <v>38</v>
      </c>
      <c r="AC78" s="20" t="s">
        <v>38</v>
      </c>
      <c r="AD78" s="20" t="s">
        <v>38</v>
      </c>
      <c r="AE78" s="20" t="s">
        <v>38</v>
      </c>
      <c r="AF78" s="20" t="s">
        <v>38</v>
      </c>
      <c r="AG78" s="20" t="s">
        <v>38</v>
      </c>
      <c r="AH78" s="20" t="s">
        <v>38</v>
      </c>
      <c r="AI78" s="20" t="s">
        <v>38</v>
      </c>
      <c r="AJ78" s="20" t="s">
        <v>38</v>
      </c>
      <c r="AK78" s="20" t="s">
        <v>38</v>
      </c>
      <c r="AL78" s="20" t="s">
        <v>38</v>
      </c>
      <c r="AM78" s="20" t="s">
        <v>38</v>
      </c>
      <c r="AN78" s="20" t="s">
        <v>38</v>
      </c>
      <c r="AO78" s="20" t="s">
        <v>38</v>
      </c>
      <c r="AP78" s="20" t="s">
        <v>38</v>
      </c>
      <c r="AQ78" s="20" t="s">
        <v>38</v>
      </c>
      <c r="AR78" s="20" t="s">
        <v>38</v>
      </c>
      <c r="AS78" s="20" t="s">
        <v>38</v>
      </c>
      <c r="AT78" s="20" t="s">
        <v>38</v>
      </c>
      <c r="AU78" s="20" t="s">
        <v>38</v>
      </c>
      <c r="AV78" s="20" t="s">
        <v>38</v>
      </c>
      <c r="AW78" s="20" t="s">
        <v>38</v>
      </c>
      <c r="AX78" s="20" t="s">
        <v>38</v>
      </c>
      <c r="AY78" s="20" t="s">
        <v>38</v>
      </c>
      <c r="AZ78" s="20" t="s">
        <v>38</v>
      </c>
      <c r="BA78" s="20" t="s">
        <v>38</v>
      </c>
      <c r="BB78" s="20" t="s">
        <v>38</v>
      </c>
      <c r="BC78" s="20" t="s">
        <v>38</v>
      </c>
      <c r="BD78" s="20" t="s">
        <v>38</v>
      </c>
      <c r="BE78" s="20" t="s">
        <v>38</v>
      </c>
      <c r="BF78" s="20" t="s">
        <v>38</v>
      </c>
      <c r="BG78" s="20" t="s">
        <v>38</v>
      </c>
      <c r="BH78" s="20" t="s">
        <v>38</v>
      </c>
      <c r="BI78" s="20" t="s">
        <v>38</v>
      </c>
      <c r="BJ78" s="20" t="s">
        <v>38</v>
      </c>
      <c r="BK78" s="20" t="s">
        <v>38</v>
      </c>
      <c r="BL78" s="20" t="s">
        <v>38</v>
      </c>
      <c r="BM78" s="20" t="s">
        <v>38</v>
      </c>
      <c r="BN78" s="20" t="s">
        <v>38</v>
      </c>
      <c r="BO78" s="20" t="s">
        <v>38</v>
      </c>
      <c r="BP78" s="20" t="s">
        <v>38</v>
      </c>
      <c r="BQ78" s="20" t="s">
        <v>38</v>
      </c>
      <c r="BR78" s="20" t="s">
        <v>38</v>
      </c>
      <c r="BS78" s="20" t="s">
        <v>38</v>
      </c>
      <c r="BT78" s="20" t="s">
        <v>38</v>
      </c>
      <c r="BU78" s="20" t="s">
        <v>38</v>
      </c>
      <c r="BV78" s="20" t="s">
        <v>38</v>
      </c>
      <c r="BW78" s="20" t="s">
        <v>38</v>
      </c>
      <c r="BX78" s="20" t="s">
        <v>38</v>
      </c>
      <c r="BY78" s="61" t="s">
        <v>38</v>
      </c>
      <c r="BZ78" s="61" t="s">
        <v>38</v>
      </c>
      <c r="CA78" s="87" t="s">
        <v>38</v>
      </c>
    </row>
    <row r="79" spans="1:79">
      <c r="A79" s="29">
        <v>58</v>
      </c>
      <c r="B79" s="83">
        <v>254478.967924</v>
      </c>
      <c r="C79" s="83">
        <v>4505639.2194499997</v>
      </c>
      <c r="D79" s="20" t="s">
        <v>38</v>
      </c>
      <c r="E79" s="20" t="s">
        <v>38</v>
      </c>
      <c r="F79" s="20" t="s">
        <v>38</v>
      </c>
      <c r="G79" s="20" t="s">
        <v>38</v>
      </c>
      <c r="H79" s="20" t="s">
        <v>38</v>
      </c>
      <c r="I79" s="20" t="s">
        <v>38</v>
      </c>
      <c r="J79" s="20" t="s">
        <v>38</v>
      </c>
      <c r="K79" s="20" t="s">
        <v>38</v>
      </c>
      <c r="L79" s="20" t="s">
        <v>38</v>
      </c>
      <c r="M79" s="20" t="s">
        <v>38</v>
      </c>
      <c r="N79" s="20" t="s">
        <v>38</v>
      </c>
      <c r="O79" s="20" t="s">
        <v>38</v>
      </c>
      <c r="P79" s="20" t="s">
        <v>38</v>
      </c>
      <c r="Q79" s="20" t="s">
        <v>38</v>
      </c>
      <c r="R79" s="20" t="s">
        <v>38</v>
      </c>
      <c r="S79" s="20" t="s">
        <v>38</v>
      </c>
      <c r="T79" s="20" t="s">
        <v>38</v>
      </c>
      <c r="U79" s="20" t="s">
        <v>38</v>
      </c>
      <c r="V79" s="20" t="s">
        <v>38</v>
      </c>
      <c r="W79" s="20" t="s">
        <v>38</v>
      </c>
      <c r="X79" s="20" t="s">
        <v>38</v>
      </c>
      <c r="Y79" s="20" t="s">
        <v>38</v>
      </c>
      <c r="Z79" s="20" t="s">
        <v>38</v>
      </c>
      <c r="AA79" s="20" t="s">
        <v>38</v>
      </c>
      <c r="AB79" s="20" t="s">
        <v>38</v>
      </c>
      <c r="AC79" s="20" t="s">
        <v>38</v>
      </c>
      <c r="AD79" s="20" t="s">
        <v>38</v>
      </c>
      <c r="AE79" s="20" t="s">
        <v>38</v>
      </c>
      <c r="AF79" s="20" t="s">
        <v>38</v>
      </c>
      <c r="AG79" s="20" t="s">
        <v>38</v>
      </c>
      <c r="AH79" s="20" t="s">
        <v>38</v>
      </c>
      <c r="AI79" s="20" t="s">
        <v>38</v>
      </c>
      <c r="AJ79" s="20" t="s">
        <v>38</v>
      </c>
      <c r="AK79" s="20" t="s">
        <v>38</v>
      </c>
      <c r="AL79" s="20" t="s">
        <v>38</v>
      </c>
      <c r="AM79" s="20" t="s">
        <v>38</v>
      </c>
      <c r="AN79" s="20" t="s">
        <v>38</v>
      </c>
      <c r="AO79" s="20" t="s">
        <v>38</v>
      </c>
      <c r="AP79" s="20" t="s">
        <v>38</v>
      </c>
      <c r="AQ79" s="20" t="s">
        <v>38</v>
      </c>
      <c r="AR79" s="20" t="s">
        <v>38</v>
      </c>
      <c r="AS79" s="20" t="s">
        <v>38</v>
      </c>
      <c r="AT79" s="20" t="s">
        <v>38</v>
      </c>
      <c r="AU79" s="20" t="s">
        <v>38</v>
      </c>
      <c r="AV79" s="20" t="s">
        <v>38</v>
      </c>
      <c r="AW79" s="20" t="s">
        <v>38</v>
      </c>
      <c r="AX79" s="20" t="s">
        <v>38</v>
      </c>
      <c r="AY79" s="20" t="s">
        <v>38</v>
      </c>
      <c r="AZ79" s="20" t="s">
        <v>38</v>
      </c>
      <c r="BA79" s="20" t="s">
        <v>38</v>
      </c>
      <c r="BB79" s="20" t="s">
        <v>38</v>
      </c>
      <c r="BC79" s="20" t="s">
        <v>38</v>
      </c>
      <c r="BD79" s="20" t="s">
        <v>38</v>
      </c>
      <c r="BE79" s="20" t="s">
        <v>38</v>
      </c>
      <c r="BF79" s="20" t="s">
        <v>38</v>
      </c>
      <c r="BG79" s="20" t="s">
        <v>38</v>
      </c>
      <c r="BH79" s="20" t="s">
        <v>38</v>
      </c>
      <c r="BI79" s="20" t="s">
        <v>38</v>
      </c>
      <c r="BJ79" s="20" t="s">
        <v>38</v>
      </c>
      <c r="BK79" s="20" t="s">
        <v>38</v>
      </c>
      <c r="BL79" s="20" t="s">
        <v>38</v>
      </c>
      <c r="BM79" s="20" t="s">
        <v>38</v>
      </c>
      <c r="BN79" s="20" t="s">
        <v>38</v>
      </c>
      <c r="BO79" s="20" t="s">
        <v>38</v>
      </c>
      <c r="BP79" s="20" t="s">
        <v>38</v>
      </c>
      <c r="BQ79" s="20" t="s">
        <v>38</v>
      </c>
      <c r="BR79" s="20" t="s">
        <v>38</v>
      </c>
      <c r="BS79" s="20" t="s">
        <v>38</v>
      </c>
      <c r="BT79" s="20" t="s">
        <v>38</v>
      </c>
      <c r="BU79" s="20" t="s">
        <v>38</v>
      </c>
      <c r="BV79" s="20" t="s">
        <v>38</v>
      </c>
      <c r="BW79" s="20" t="s">
        <v>38</v>
      </c>
      <c r="BX79" s="20" t="s">
        <v>38</v>
      </c>
      <c r="BY79" s="61" t="s">
        <v>38</v>
      </c>
      <c r="BZ79" s="61" t="s">
        <v>38</v>
      </c>
      <c r="CA79" s="87" t="s">
        <v>38</v>
      </c>
    </row>
    <row r="80" spans="1:79">
      <c r="A80" s="29">
        <v>59</v>
      </c>
      <c r="B80" s="83">
        <v>254508.20847300001</v>
      </c>
      <c r="C80" s="83">
        <v>4505675.6492100004</v>
      </c>
      <c r="D80" s="20" t="s">
        <v>38</v>
      </c>
      <c r="E80" s="20" t="s">
        <v>38</v>
      </c>
      <c r="F80" s="20" t="s">
        <v>38</v>
      </c>
      <c r="G80" s="20" t="s">
        <v>38</v>
      </c>
      <c r="H80" s="20" t="s">
        <v>38</v>
      </c>
      <c r="I80" s="20" t="s">
        <v>38</v>
      </c>
      <c r="J80" s="20" t="s">
        <v>38</v>
      </c>
      <c r="K80" s="20" t="s">
        <v>38</v>
      </c>
      <c r="L80" s="20" t="s">
        <v>38</v>
      </c>
      <c r="M80" s="20" t="s">
        <v>38</v>
      </c>
      <c r="N80" s="20" t="s">
        <v>38</v>
      </c>
      <c r="O80" s="20" t="s">
        <v>38</v>
      </c>
      <c r="P80" s="20" t="s">
        <v>38</v>
      </c>
      <c r="Q80" s="20" t="s">
        <v>38</v>
      </c>
      <c r="R80" s="20" t="s">
        <v>38</v>
      </c>
      <c r="S80" s="20" t="s">
        <v>38</v>
      </c>
      <c r="T80" s="20" t="s">
        <v>38</v>
      </c>
      <c r="U80" s="20" t="s">
        <v>38</v>
      </c>
      <c r="V80" s="20" t="s">
        <v>38</v>
      </c>
      <c r="W80" s="20" t="s">
        <v>38</v>
      </c>
      <c r="X80" s="20" t="s">
        <v>38</v>
      </c>
      <c r="Y80" s="20" t="s">
        <v>38</v>
      </c>
      <c r="Z80" s="20" t="s">
        <v>38</v>
      </c>
      <c r="AA80" s="20" t="s">
        <v>38</v>
      </c>
      <c r="AB80" s="20" t="s">
        <v>38</v>
      </c>
      <c r="AC80" s="20" t="s">
        <v>38</v>
      </c>
      <c r="AD80" s="20" t="s">
        <v>38</v>
      </c>
      <c r="AE80" s="20" t="s">
        <v>38</v>
      </c>
      <c r="AF80" s="20" t="s">
        <v>38</v>
      </c>
      <c r="AG80" s="20" t="s">
        <v>38</v>
      </c>
      <c r="AH80" s="20" t="s">
        <v>38</v>
      </c>
      <c r="AI80" s="20" t="s">
        <v>38</v>
      </c>
      <c r="AJ80" s="20" t="s">
        <v>38</v>
      </c>
      <c r="AK80" s="20" t="s">
        <v>38</v>
      </c>
      <c r="AL80" s="20" t="s">
        <v>38</v>
      </c>
      <c r="AM80" s="20" t="s">
        <v>38</v>
      </c>
      <c r="AN80" s="20" t="s">
        <v>38</v>
      </c>
      <c r="AO80" s="20" t="s">
        <v>38</v>
      </c>
      <c r="AP80" s="20" t="s">
        <v>38</v>
      </c>
      <c r="AQ80" s="20" t="s">
        <v>38</v>
      </c>
      <c r="AR80" s="20" t="s">
        <v>38</v>
      </c>
      <c r="AS80" s="20" t="s">
        <v>38</v>
      </c>
      <c r="AT80" s="20" t="s">
        <v>38</v>
      </c>
      <c r="AU80" s="20" t="s">
        <v>38</v>
      </c>
      <c r="AV80" s="20" t="s">
        <v>38</v>
      </c>
      <c r="AW80" s="20" t="s">
        <v>38</v>
      </c>
      <c r="AX80" s="20" t="s">
        <v>38</v>
      </c>
      <c r="AY80" s="20" t="s">
        <v>38</v>
      </c>
      <c r="AZ80" s="20" t="s">
        <v>38</v>
      </c>
      <c r="BA80" s="20" t="s">
        <v>38</v>
      </c>
      <c r="BB80" s="20" t="s">
        <v>38</v>
      </c>
      <c r="BC80" s="20" t="s">
        <v>38</v>
      </c>
      <c r="BD80" s="20" t="s">
        <v>38</v>
      </c>
      <c r="BE80" s="20" t="s">
        <v>38</v>
      </c>
      <c r="BF80" s="20" t="s">
        <v>38</v>
      </c>
      <c r="BG80" s="20" t="s">
        <v>38</v>
      </c>
      <c r="BH80" s="20" t="s">
        <v>38</v>
      </c>
      <c r="BI80" s="20" t="s">
        <v>38</v>
      </c>
      <c r="BJ80" s="20" t="s">
        <v>38</v>
      </c>
      <c r="BK80" s="20" t="s">
        <v>38</v>
      </c>
      <c r="BL80" s="20" t="s">
        <v>38</v>
      </c>
      <c r="BM80" s="20" t="s">
        <v>38</v>
      </c>
      <c r="BN80" s="20" t="s">
        <v>38</v>
      </c>
      <c r="BO80" s="20" t="s">
        <v>38</v>
      </c>
      <c r="BP80" s="20" t="s">
        <v>38</v>
      </c>
      <c r="BQ80" s="20" t="s">
        <v>38</v>
      </c>
      <c r="BR80" s="20" t="s">
        <v>38</v>
      </c>
      <c r="BS80" s="20" t="s">
        <v>38</v>
      </c>
      <c r="BT80" s="20" t="s">
        <v>38</v>
      </c>
      <c r="BU80" s="20" t="s">
        <v>38</v>
      </c>
      <c r="BV80" s="20" t="s">
        <v>38</v>
      </c>
      <c r="BW80" s="20" t="s">
        <v>38</v>
      </c>
      <c r="BX80" s="20" t="s">
        <v>38</v>
      </c>
      <c r="BY80" s="61" t="s">
        <v>38</v>
      </c>
      <c r="BZ80" s="61" t="s">
        <v>38</v>
      </c>
      <c r="CA80" s="87" t="s">
        <v>38</v>
      </c>
    </row>
    <row r="81" spans="1:79">
      <c r="A81" s="29">
        <v>60</v>
      </c>
      <c r="B81" s="82">
        <v>254489.42741900001</v>
      </c>
      <c r="C81" s="82">
        <v>4505627.2146600001</v>
      </c>
      <c r="D81" s="20" t="s">
        <v>38</v>
      </c>
      <c r="E81" s="20" t="s">
        <v>38</v>
      </c>
      <c r="F81" s="20" t="s">
        <v>38</v>
      </c>
      <c r="G81" s="20" t="s">
        <v>38</v>
      </c>
      <c r="H81" s="20" t="s">
        <v>38</v>
      </c>
      <c r="I81" s="20" t="s">
        <v>38</v>
      </c>
      <c r="J81" s="20" t="s">
        <v>38</v>
      </c>
      <c r="K81" s="20" t="s">
        <v>38</v>
      </c>
      <c r="L81" s="20" t="s">
        <v>38</v>
      </c>
      <c r="M81" s="20" t="s">
        <v>38</v>
      </c>
      <c r="N81" s="20" t="s">
        <v>38</v>
      </c>
      <c r="O81" s="20" t="s">
        <v>38</v>
      </c>
      <c r="P81" s="20" t="s">
        <v>38</v>
      </c>
      <c r="Q81" s="20" t="s">
        <v>38</v>
      </c>
      <c r="R81" s="20" t="s">
        <v>38</v>
      </c>
      <c r="S81" s="20" t="s">
        <v>38</v>
      </c>
      <c r="T81" s="20" t="s">
        <v>38</v>
      </c>
      <c r="U81" s="20" t="s">
        <v>38</v>
      </c>
      <c r="V81" s="20" t="s">
        <v>38</v>
      </c>
      <c r="W81" s="20" t="s">
        <v>38</v>
      </c>
      <c r="X81" s="20" t="s">
        <v>38</v>
      </c>
      <c r="Y81" s="20" t="s">
        <v>38</v>
      </c>
      <c r="Z81" s="20" t="s">
        <v>38</v>
      </c>
      <c r="AA81" s="20" t="s">
        <v>38</v>
      </c>
      <c r="AB81" s="20" t="s">
        <v>38</v>
      </c>
      <c r="AC81" s="20" t="s">
        <v>38</v>
      </c>
      <c r="AD81" s="20" t="s">
        <v>38</v>
      </c>
      <c r="AE81" s="20" t="s">
        <v>38</v>
      </c>
      <c r="AF81" s="20" t="s">
        <v>38</v>
      </c>
      <c r="AG81" s="20" t="s">
        <v>38</v>
      </c>
      <c r="AH81" s="20" t="s">
        <v>38</v>
      </c>
      <c r="AI81" s="20" t="s">
        <v>38</v>
      </c>
      <c r="AJ81" s="20" t="s">
        <v>38</v>
      </c>
      <c r="AK81" s="20" t="s">
        <v>38</v>
      </c>
      <c r="AL81" s="20" t="s">
        <v>38</v>
      </c>
      <c r="AM81" s="20" t="s">
        <v>38</v>
      </c>
      <c r="AN81" s="20" t="s">
        <v>38</v>
      </c>
      <c r="AO81" s="20" t="s">
        <v>38</v>
      </c>
      <c r="AP81" s="20" t="s">
        <v>38</v>
      </c>
      <c r="AQ81" s="20" t="s">
        <v>38</v>
      </c>
      <c r="AR81" s="20" t="s">
        <v>38</v>
      </c>
      <c r="AS81" s="20" t="s">
        <v>38</v>
      </c>
      <c r="AT81" s="20" t="s">
        <v>38</v>
      </c>
      <c r="AU81" s="20" t="s">
        <v>38</v>
      </c>
      <c r="AV81" s="20" t="s">
        <v>38</v>
      </c>
      <c r="AW81" s="20" t="s">
        <v>38</v>
      </c>
      <c r="AX81" s="20" t="s">
        <v>38</v>
      </c>
      <c r="AY81" s="20" t="s">
        <v>38</v>
      </c>
      <c r="AZ81" s="20" t="s">
        <v>38</v>
      </c>
      <c r="BA81" s="20" t="s">
        <v>38</v>
      </c>
      <c r="BB81" s="20" t="s">
        <v>38</v>
      </c>
      <c r="BC81" s="20" t="s">
        <v>38</v>
      </c>
      <c r="BD81" s="20" t="s">
        <v>38</v>
      </c>
      <c r="BE81" s="20" t="s">
        <v>38</v>
      </c>
      <c r="BF81" s="20" t="s">
        <v>38</v>
      </c>
      <c r="BG81" s="20" t="s">
        <v>38</v>
      </c>
      <c r="BH81" s="20" t="s">
        <v>38</v>
      </c>
      <c r="BI81" s="20" t="s">
        <v>38</v>
      </c>
      <c r="BJ81" s="20" t="s">
        <v>38</v>
      </c>
      <c r="BK81" s="20" t="s">
        <v>38</v>
      </c>
      <c r="BL81" s="20" t="s">
        <v>38</v>
      </c>
      <c r="BM81" s="20" t="s">
        <v>38</v>
      </c>
      <c r="BN81" s="20" t="s">
        <v>38</v>
      </c>
      <c r="BO81" s="20" t="s">
        <v>38</v>
      </c>
      <c r="BP81" s="20" t="s">
        <v>38</v>
      </c>
      <c r="BQ81" s="20" t="s">
        <v>38</v>
      </c>
      <c r="BR81" s="20" t="s">
        <v>38</v>
      </c>
      <c r="BS81" s="20" t="s">
        <v>38</v>
      </c>
      <c r="BT81" s="20" t="s">
        <v>38</v>
      </c>
      <c r="BU81" s="20" t="s">
        <v>38</v>
      </c>
      <c r="BV81" s="20" t="s">
        <v>38</v>
      </c>
      <c r="BW81" s="20" t="s">
        <v>38</v>
      </c>
      <c r="BX81" s="20" t="s">
        <v>38</v>
      </c>
      <c r="BY81" s="85" t="s">
        <v>38</v>
      </c>
      <c r="BZ81" s="85" t="s">
        <v>38</v>
      </c>
      <c r="CA81" s="87" t="s">
        <v>38</v>
      </c>
    </row>
    <row r="82" spans="1:79">
      <c r="A82" s="29" t="s">
        <v>26</v>
      </c>
      <c r="B82" s="82">
        <v>254490.50914000001</v>
      </c>
      <c r="C82" s="82">
        <v>4505628.04213</v>
      </c>
      <c r="D82" s="20" t="s">
        <v>38</v>
      </c>
      <c r="E82" s="20" t="s">
        <v>38</v>
      </c>
      <c r="F82" s="20" t="s">
        <v>38</v>
      </c>
      <c r="G82" s="20" t="s">
        <v>38</v>
      </c>
      <c r="H82" s="20" t="s">
        <v>38</v>
      </c>
      <c r="I82" s="20" t="s">
        <v>38</v>
      </c>
      <c r="J82" s="20" t="s">
        <v>38</v>
      </c>
      <c r="K82" s="20" t="s">
        <v>38</v>
      </c>
      <c r="L82" s="20" t="s">
        <v>38</v>
      </c>
      <c r="M82" s="20" t="s">
        <v>38</v>
      </c>
      <c r="N82" s="20" t="s">
        <v>38</v>
      </c>
      <c r="O82" s="20" t="s">
        <v>38</v>
      </c>
      <c r="P82" s="20" t="s">
        <v>38</v>
      </c>
      <c r="Q82" s="20" t="s">
        <v>38</v>
      </c>
      <c r="R82" s="20" t="s">
        <v>38</v>
      </c>
      <c r="S82" s="20" t="s">
        <v>38</v>
      </c>
      <c r="T82" s="20" t="s">
        <v>38</v>
      </c>
      <c r="U82" s="20" t="s">
        <v>38</v>
      </c>
      <c r="V82" s="20" t="s">
        <v>38</v>
      </c>
      <c r="W82" s="20" t="s">
        <v>38</v>
      </c>
      <c r="X82" s="20" t="s">
        <v>38</v>
      </c>
      <c r="Y82" s="20" t="s">
        <v>38</v>
      </c>
      <c r="Z82" s="20" t="s">
        <v>38</v>
      </c>
      <c r="AA82" s="20" t="s">
        <v>38</v>
      </c>
      <c r="AB82" s="20" t="s">
        <v>38</v>
      </c>
      <c r="AC82" s="20" t="s">
        <v>38</v>
      </c>
      <c r="AD82" s="20" t="s">
        <v>38</v>
      </c>
      <c r="AE82" s="20" t="s">
        <v>38</v>
      </c>
      <c r="AF82" s="20" t="s">
        <v>38</v>
      </c>
      <c r="AG82" s="20" t="s">
        <v>38</v>
      </c>
      <c r="AH82" s="20" t="s">
        <v>38</v>
      </c>
      <c r="AI82" s="20" t="s">
        <v>38</v>
      </c>
      <c r="AJ82" s="20" t="s">
        <v>38</v>
      </c>
      <c r="AK82" s="20" t="s">
        <v>38</v>
      </c>
      <c r="AL82" s="20" t="s">
        <v>38</v>
      </c>
      <c r="AM82" s="20" t="s">
        <v>38</v>
      </c>
      <c r="AN82" s="20" t="s">
        <v>38</v>
      </c>
      <c r="AO82" s="20" t="s">
        <v>38</v>
      </c>
      <c r="AP82" s="20" t="s">
        <v>38</v>
      </c>
      <c r="AQ82" s="20" t="s">
        <v>38</v>
      </c>
      <c r="AR82" s="20" t="s">
        <v>38</v>
      </c>
      <c r="AS82" s="20" t="s">
        <v>38</v>
      </c>
      <c r="AT82" s="20" t="s">
        <v>38</v>
      </c>
      <c r="AU82" s="20" t="s">
        <v>38</v>
      </c>
      <c r="AV82" s="20" t="s">
        <v>38</v>
      </c>
      <c r="AW82" s="20" t="s">
        <v>38</v>
      </c>
      <c r="AX82" s="20" t="s">
        <v>38</v>
      </c>
      <c r="AY82" s="20" t="s">
        <v>38</v>
      </c>
      <c r="AZ82" s="20" t="s">
        <v>38</v>
      </c>
      <c r="BA82" s="20" t="s">
        <v>38</v>
      </c>
      <c r="BB82" s="20" t="s">
        <v>38</v>
      </c>
      <c r="BC82" s="20" t="s">
        <v>38</v>
      </c>
      <c r="BD82" s="20" t="s">
        <v>38</v>
      </c>
      <c r="BE82" s="20" t="s">
        <v>38</v>
      </c>
      <c r="BF82" s="20" t="s">
        <v>38</v>
      </c>
      <c r="BG82" s="20" t="s">
        <v>38</v>
      </c>
      <c r="BH82" s="20" t="s">
        <v>38</v>
      </c>
      <c r="BI82" s="20" t="s">
        <v>38</v>
      </c>
      <c r="BJ82" s="20" t="s">
        <v>38</v>
      </c>
      <c r="BK82" s="20" t="s">
        <v>38</v>
      </c>
      <c r="BL82" s="20" t="s">
        <v>38</v>
      </c>
      <c r="BM82" s="20" t="s">
        <v>38</v>
      </c>
      <c r="BN82" s="20" t="s">
        <v>38</v>
      </c>
      <c r="BO82" s="20" t="s">
        <v>38</v>
      </c>
      <c r="BP82" s="20" t="s">
        <v>38</v>
      </c>
      <c r="BQ82" s="20" t="s">
        <v>38</v>
      </c>
      <c r="BR82" s="20" t="s">
        <v>38</v>
      </c>
      <c r="BS82" s="20" t="s">
        <v>38</v>
      </c>
      <c r="BT82" s="20" t="s">
        <v>38</v>
      </c>
      <c r="BU82" s="20" t="s">
        <v>38</v>
      </c>
      <c r="BV82" s="20" t="s">
        <v>38</v>
      </c>
      <c r="BW82" s="20" t="s">
        <v>38</v>
      </c>
      <c r="BX82" s="20" t="s">
        <v>38</v>
      </c>
      <c r="BY82" s="85" t="s">
        <v>38</v>
      </c>
      <c r="BZ82" s="84" t="s">
        <v>38</v>
      </c>
      <c r="CA82" s="87" t="s">
        <v>38</v>
      </c>
    </row>
    <row r="83" spans="1:79">
      <c r="A83" s="29" t="s">
        <v>27</v>
      </c>
      <c r="B83" s="82">
        <v>254490.34821900001</v>
      </c>
      <c r="C83" s="82">
        <v>4505626.1343099996</v>
      </c>
      <c r="D83" s="20" t="s">
        <v>38</v>
      </c>
      <c r="E83" s="20" t="s">
        <v>38</v>
      </c>
      <c r="F83" s="20" t="s">
        <v>38</v>
      </c>
      <c r="G83" s="20" t="s">
        <v>38</v>
      </c>
      <c r="H83" s="20" t="s">
        <v>38</v>
      </c>
      <c r="I83" s="20" t="s">
        <v>38</v>
      </c>
      <c r="J83" s="20" t="s">
        <v>38</v>
      </c>
      <c r="K83" s="20" t="s">
        <v>38</v>
      </c>
      <c r="L83" s="20" t="s">
        <v>38</v>
      </c>
      <c r="M83" s="20" t="s">
        <v>38</v>
      </c>
      <c r="N83" s="20" t="s">
        <v>38</v>
      </c>
      <c r="O83" s="20" t="s">
        <v>38</v>
      </c>
      <c r="P83" s="20" t="s">
        <v>38</v>
      </c>
      <c r="Q83" s="20" t="s">
        <v>38</v>
      </c>
      <c r="R83" s="20" t="s">
        <v>38</v>
      </c>
      <c r="S83" s="20" t="s">
        <v>38</v>
      </c>
      <c r="T83" s="20" t="s">
        <v>38</v>
      </c>
      <c r="U83" s="20" t="s">
        <v>38</v>
      </c>
      <c r="V83" s="20" t="s">
        <v>38</v>
      </c>
      <c r="W83" s="20" t="s">
        <v>38</v>
      </c>
      <c r="X83" s="20" t="s">
        <v>38</v>
      </c>
      <c r="Y83" s="20" t="s">
        <v>38</v>
      </c>
      <c r="Z83" s="20" t="s">
        <v>38</v>
      </c>
      <c r="AA83" s="20" t="s">
        <v>38</v>
      </c>
      <c r="AB83" s="20" t="s">
        <v>38</v>
      </c>
      <c r="AC83" s="20" t="s">
        <v>38</v>
      </c>
      <c r="AD83" s="20" t="s">
        <v>38</v>
      </c>
      <c r="AE83" s="20" t="s">
        <v>38</v>
      </c>
      <c r="AF83" s="20" t="s">
        <v>38</v>
      </c>
      <c r="AG83" s="20" t="s">
        <v>38</v>
      </c>
      <c r="AH83" s="20" t="s">
        <v>38</v>
      </c>
      <c r="AI83" s="20" t="s">
        <v>38</v>
      </c>
      <c r="AJ83" s="20" t="s">
        <v>38</v>
      </c>
      <c r="AK83" s="20" t="s">
        <v>38</v>
      </c>
      <c r="AL83" s="20" t="s">
        <v>38</v>
      </c>
      <c r="AM83" s="20" t="s">
        <v>38</v>
      </c>
      <c r="AN83" s="20" t="s">
        <v>38</v>
      </c>
      <c r="AO83" s="20" t="s">
        <v>38</v>
      </c>
      <c r="AP83" s="20" t="s">
        <v>38</v>
      </c>
      <c r="AQ83" s="20" t="s">
        <v>38</v>
      </c>
      <c r="AR83" s="20" t="s">
        <v>38</v>
      </c>
      <c r="AS83" s="20" t="s">
        <v>38</v>
      </c>
      <c r="AT83" s="20" t="s">
        <v>38</v>
      </c>
      <c r="AU83" s="20" t="s">
        <v>38</v>
      </c>
      <c r="AV83" s="20" t="s">
        <v>38</v>
      </c>
      <c r="AW83" s="20" t="s">
        <v>38</v>
      </c>
      <c r="AX83" s="20" t="s">
        <v>38</v>
      </c>
      <c r="AY83" s="20" t="s">
        <v>38</v>
      </c>
      <c r="AZ83" s="20" t="s">
        <v>38</v>
      </c>
      <c r="BA83" s="20" t="s">
        <v>38</v>
      </c>
      <c r="BB83" s="20" t="s">
        <v>38</v>
      </c>
      <c r="BC83" s="20" t="s">
        <v>38</v>
      </c>
      <c r="BD83" s="20" t="s">
        <v>38</v>
      </c>
      <c r="BE83" s="20" t="s">
        <v>38</v>
      </c>
      <c r="BF83" s="20" t="s">
        <v>38</v>
      </c>
      <c r="BG83" s="20" t="s">
        <v>38</v>
      </c>
      <c r="BH83" s="20" t="s">
        <v>38</v>
      </c>
      <c r="BI83" s="20" t="s">
        <v>38</v>
      </c>
      <c r="BJ83" s="20" t="s">
        <v>38</v>
      </c>
      <c r="BK83" s="20" t="s">
        <v>38</v>
      </c>
      <c r="BL83" s="20" t="s">
        <v>38</v>
      </c>
      <c r="BM83" s="20" t="s">
        <v>38</v>
      </c>
      <c r="BN83" s="20" t="s">
        <v>38</v>
      </c>
      <c r="BO83" s="20" t="s">
        <v>38</v>
      </c>
      <c r="BP83" s="20" t="s">
        <v>38</v>
      </c>
      <c r="BQ83" s="20" t="s">
        <v>38</v>
      </c>
      <c r="BR83" s="20" t="s">
        <v>38</v>
      </c>
      <c r="BS83" s="20" t="s">
        <v>38</v>
      </c>
      <c r="BT83" s="20" t="s">
        <v>38</v>
      </c>
      <c r="BU83" s="20" t="s">
        <v>38</v>
      </c>
      <c r="BV83" s="20" t="s">
        <v>38</v>
      </c>
      <c r="BW83" s="20" t="s">
        <v>38</v>
      </c>
      <c r="BX83" s="20" t="s">
        <v>38</v>
      </c>
      <c r="BY83" s="85" t="s">
        <v>38</v>
      </c>
      <c r="BZ83" s="85" t="s">
        <v>38</v>
      </c>
      <c r="CA83" s="87" t="s">
        <v>38</v>
      </c>
    </row>
    <row r="84" spans="1:79">
      <c r="A84" s="29" t="s">
        <v>28</v>
      </c>
      <c r="B84" s="82">
        <v>254488.395021</v>
      </c>
      <c r="C84" s="82">
        <v>4505626.3354900004</v>
      </c>
      <c r="D84" s="20" t="s">
        <v>38</v>
      </c>
      <c r="E84" s="20" t="s">
        <v>38</v>
      </c>
      <c r="F84" s="20" t="s">
        <v>38</v>
      </c>
      <c r="G84" s="20" t="s">
        <v>38</v>
      </c>
      <c r="H84" s="20" t="s">
        <v>38</v>
      </c>
      <c r="I84" s="20" t="s">
        <v>38</v>
      </c>
      <c r="J84" s="20" t="s">
        <v>38</v>
      </c>
      <c r="K84" s="20" t="s">
        <v>38</v>
      </c>
      <c r="L84" s="20" t="s">
        <v>38</v>
      </c>
      <c r="M84" s="20" t="s">
        <v>38</v>
      </c>
      <c r="N84" s="20" t="s">
        <v>38</v>
      </c>
      <c r="O84" s="20" t="s">
        <v>38</v>
      </c>
      <c r="P84" s="20" t="s">
        <v>38</v>
      </c>
      <c r="Q84" s="20" t="s">
        <v>38</v>
      </c>
      <c r="R84" s="20" t="s">
        <v>38</v>
      </c>
      <c r="S84" s="20" t="s">
        <v>38</v>
      </c>
      <c r="T84" s="20" t="s">
        <v>38</v>
      </c>
      <c r="U84" s="20" t="s">
        <v>38</v>
      </c>
      <c r="V84" s="20" t="s">
        <v>38</v>
      </c>
      <c r="W84" s="20" t="s">
        <v>38</v>
      </c>
      <c r="X84" s="20" t="s">
        <v>38</v>
      </c>
      <c r="Y84" s="20" t="s">
        <v>38</v>
      </c>
      <c r="Z84" s="20" t="s">
        <v>38</v>
      </c>
      <c r="AA84" s="20" t="s">
        <v>38</v>
      </c>
      <c r="AB84" s="20" t="s">
        <v>38</v>
      </c>
      <c r="AC84" s="20" t="s">
        <v>38</v>
      </c>
      <c r="AD84" s="20" t="s">
        <v>38</v>
      </c>
      <c r="AE84" s="20" t="s">
        <v>38</v>
      </c>
      <c r="AF84" s="20" t="s">
        <v>38</v>
      </c>
      <c r="AG84" s="20" t="s">
        <v>38</v>
      </c>
      <c r="AH84" s="20" t="s">
        <v>38</v>
      </c>
      <c r="AI84" s="20" t="s">
        <v>38</v>
      </c>
      <c r="AJ84" s="20" t="s">
        <v>38</v>
      </c>
      <c r="AK84" s="20" t="s">
        <v>38</v>
      </c>
      <c r="AL84" s="20" t="s">
        <v>38</v>
      </c>
      <c r="AM84" s="20" t="s">
        <v>38</v>
      </c>
      <c r="AN84" s="20" t="s">
        <v>38</v>
      </c>
      <c r="AO84" s="20" t="s">
        <v>38</v>
      </c>
      <c r="AP84" s="20" t="s">
        <v>38</v>
      </c>
      <c r="AQ84" s="20" t="s">
        <v>38</v>
      </c>
      <c r="AR84" s="20" t="s">
        <v>38</v>
      </c>
      <c r="AS84" s="20" t="s">
        <v>38</v>
      </c>
      <c r="AT84" s="20" t="s">
        <v>38</v>
      </c>
      <c r="AU84" s="20" t="s">
        <v>38</v>
      </c>
      <c r="AV84" s="20" t="s">
        <v>38</v>
      </c>
      <c r="AW84" s="20" t="s">
        <v>38</v>
      </c>
      <c r="AX84" s="20" t="s">
        <v>38</v>
      </c>
      <c r="AY84" s="20" t="s">
        <v>38</v>
      </c>
      <c r="AZ84" s="20" t="s">
        <v>38</v>
      </c>
      <c r="BA84" s="20" t="s">
        <v>38</v>
      </c>
      <c r="BB84" s="20" t="s">
        <v>38</v>
      </c>
      <c r="BC84" s="20" t="s">
        <v>38</v>
      </c>
      <c r="BD84" s="20" t="s">
        <v>38</v>
      </c>
      <c r="BE84" s="20" t="s">
        <v>38</v>
      </c>
      <c r="BF84" s="20" t="s">
        <v>38</v>
      </c>
      <c r="BG84" s="20" t="s">
        <v>38</v>
      </c>
      <c r="BH84" s="20" t="s">
        <v>38</v>
      </c>
      <c r="BI84" s="20" t="s">
        <v>38</v>
      </c>
      <c r="BJ84" s="20" t="s">
        <v>38</v>
      </c>
      <c r="BK84" s="20" t="s">
        <v>38</v>
      </c>
      <c r="BL84" s="20" t="s">
        <v>38</v>
      </c>
      <c r="BM84" s="20" t="s">
        <v>38</v>
      </c>
      <c r="BN84" s="20" t="s">
        <v>38</v>
      </c>
      <c r="BO84" s="20" t="s">
        <v>38</v>
      </c>
      <c r="BP84" s="20" t="s">
        <v>38</v>
      </c>
      <c r="BQ84" s="20" t="s">
        <v>38</v>
      </c>
      <c r="BR84" s="20" t="s">
        <v>38</v>
      </c>
      <c r="BS84" s="20" t="s">
        <v>38</v>
      </c>
      <c r="BT84" s="20" t="s">
        <v>38</v>
      </c>
      <c r="BU84" s="20" t="s">
        <v>38</v>
      </c>
      <c r="BV84" s="20" t="s">
        <v>38</v>
      </c>
      <c r="BW84" s="20" t="s">
        <v>38</v>
      </c>
      <c r="BX84" s="20" t="s">
        <v>38</v>
      </c>
      <c r="BY84" s="85" t="s">
        <v>38</v>
      </c>
      <c r="BZ84" s="85" t="s">
        <v>38</v>
      </c>
      <c r="CA84" s="87" t="s">
        <v>38</v>
      </c>
    </row>
    <row r="85" spans="1:79">
      <c r="A85" s="29" t="s">
        <v>29</v>
      </c>
      <c r="B85" s="82">
        <v>254488.63037900001</v>
      </c>
      <c r="C85" s="82">
        <v>4505628.1816299995</v>
      </c>
      <c r="D85" s="20" t="s">
        <v>38</v>
      </c>
      <c r="E85" s="20" t="s">
        <v>38</v>
      </c>
      <c r="F85" s="20" t="s">
        <v>38</v>
      </c>
      <c r="G85" s="20" t="s">
        <v>38</v>
      </c>
      <c r="H85" s="20" t="s">
        <v>38</v>
      </c>
      <c r="I85" s="20" t="s">
        <v>38</v>
      </c>
      <c r="J85" s="20" t="s">
        <v>38</v>
      </c>
      <c r="K85" s="20" t="s">
        <v>38</v>
      </c>
      <c r="L85" s="20" t="s">
        <v>38</v>
      </c>
      <c r="M85" s="20" t="s">
        <v>38</v>
      </c>
      <c r="N85" s="20" t="s">
        <v>38</v>
      </c>
      <c r="O85" s="20" t="s">
        <v>38</v>
      </c>
      <c r="P85" s="20" t="s">
        <v>38</v>
      </c>
      <c r="Q85" s="20" t="s">
        <v>38</v>
      </c>
      <c r="R85" s="20" t="s">
        <v>38</v>
      </c>
      <c r="S85" s="20" t="s">
        <v>38</v>
      </c>
      <c r="T85" s="20" t="s">
        <v>38</v>
      </c>
      <c r="U85" s="20" t="s">
        <v>38</v>
      </c>
      <c r="V85" s="20" t="s">
        <v>38</v>
      </c>
      <c r="W85" s="20" t="s">
        <v>38</v>
      </c>
      <c r="X85" s="20" t="s">
        <v>38</v>
      </c>
      <c r="Y85" s="20" t="s">
        <v>38</v>
      </c>
      <c r="Z85" s="20" t="s">
        <v>38</v>
      </c>
      <c r="AA85" s="20" t="s">
        <v>38</v>
      </c>
      <c r="AB85" s="20" t="s">
        <v>38</v>
      </c>
      <c r="AC85" s="20" t="s">
        <v>38</v>
      </c>
      <c r="AD85" s="20" t="s">
        <v>38</v>
      </c>
      <c r="AE85" s="20" t="s">
        <v>38</v>
      </c>
      <c r="AF85" s="20" t="s">
        <v>38</v>
      </c>
      <c r="AG85" s="20" t="s">
        <v>38</v>
      </c>
      <c r="AH85" s="20" t="s">
        <v>38</v>
      </c>
      <c r="AI85" s="20" t="s">
        <v>38</v>
      </c>
      <c r="AJ85" s="20" t="s">
        <v>38</v>
      </c>
      <c r="AK85" s="20" t="s">
        <v>38</v>
      </c>
      <c r="AL85" s="20" t="s">
        <v>38</v>
      </c>
      <c r="AM85" s="20" t="s">
        <v>38</v>
      </c>
      <c r="AN85" s="20" t="s">
        <v>38</v>
      </c>
      <c r="AO85" s="20" t="s">
        <v>38</v>
      </c>
      <c r="AP85" s="20" t="s">
        <v>38</v>
      </c>
      <c r="AQ85" s="20" t="s">
        <v>38</v>
      </c>
      <c r="AR85" s="20" t="s">
        <v>38</v>
      </c>
      <c r="AS85" s="20" t="s">
        <v>38</v>
      </c>
      <c r="AT85" s="20" t="s">
        <v>38</v>
      </c>
      <c r="AU85" s="20" t="s">
        <v>38</v>
      </c>
      <c r="AV85" s="20" t="s">
        <v>38</v>
      </c>
      <c r="AW85" s="20" t="s">
        <v>38</v>
      </c>
      <c r="AX85" s="20" t="s">
        <v>38</v>
      </c>
      <c r="AY85" s="20" t="s">
        <v>38</v>
      </c>
      <c r="AZ85" s="20" t="s">
        <v>38</v>
      </c>
      <c r="BA85" s="20" t="s">
        <v>38</v>
      </c>
      <c r="BB85" s="20" t="s">
        <v>38</v>
      </c>
      <c r="BC85" s="20" t="s">
        <v>38</v>
      </c>
      <c r="BD85" s="20" t="s">
        <v>38</v>
      </c>
      <c r="BE85" s="20" t="s">
        <v>38</v>
      </c>
      <c r="BF85" s="20" t="s">
        <v>38</v>
      </c>
      <c r="BG85" s="20" t="s">
        <v>38</v>
      </c>
      <c r="BH85" s="20" t="s">
        <v>38</v>
      </c>
      <c r="BI85" s="20" t="s">
        <v>38</v>
      </c>
      <c r="BJ85" s="20" t="s">
        <v>38</v>
      </c>
      <c r="BK85" s="20" t="s">
        <v>38</v>
      </c>
      <c r="BL85" s="20" t="s">
        <v>38</v>
      </c>
      <c r="BM85" s="20" t="s">
        <v>38</v>
      </c>
      <c r="BN85" s="20" t="s">
        <v>38</v>
      </c>
      <c r="BO85" s="20" t="s">
        <v>38</v>
      </c>
      <c r="BP85" s="20" t="s">
        <v>38</v>
      </c>
      <c r="BQ85" s="20" t="s">
        <v>38</v>
      </c>
      <c r="BR85" s="20" t="s">
        <v>38</v>
      </c>
      <c r="BS85" s="20" t="s">
        <v>38</v>
      </c>
      <c r="BT85" s="20" t="s">
        <v>38</v>
      </c>
      <c r="BU85" s="20" t="s">
        <v>38</v>
      </c>
      <c r="BV85" s="20" t="s">
        <v>38</v>
      </c>
      <c r="BW85" s="20" t="s">
        <v>38</v>
      </c>
      <c r="BX85" s="20" t="s">
        <v>38</v>
      </c>
      <c r="BY85" s="85" t="s">
        <v>38</v>
      </c>
      <c r="BZ85" s="85" t="s">
        <v>38</v>
      </c>
      <c r="CA85" s="87" t="s">
        <v>38</v>
      </c>
    </row>
    <row r="86" spans="1:79">
      <c r="A86" s="29">
        <v>61</v>
      </c>
      <c r="B86" s="82">
        <v>254539.52779299999</v>
      </c>
      <c r="C86" s="82">
        <v>4505618.9177599996</v>
      </c>
      <c r="D86" s="20" t="s">
        <v>38</v>
      </c>
      <c r="E86" s="20">
        <v>0.316</v>
      </c>
      <c r="F86" s="20">
        <v>0.35849999999999999</v>
      </c>
      <c r="G86" s="20">
        <v>0.36099999999999999</v>
      </c>
      <c r="H86" s="20">
        <v>0.38900000000000001</v>
      </c>
      <c r="I86" s="20">
        <v>0.30299999999999999</v>
      </c>
      <c r="J86" s="20">
        <v>0.28699999999999998</v>
      </c>
      <c r="K86" s="20">
        <v>0.2185</v>
      </c>
      <c r="L86" s="20">
        <v>0.218</v>
      </c>
      <c r="M86" s="20" t="s">
        <v>38</v>
      </c>
      <c r="N86" s="20" t="s">
        <v>38</v>
      </c>
      <c r="O86" s="16">
        <v>0.19750000000000001</v>
      </c>
      <c r="P86" s="20" t="s">
        <v>38</v>
      </c>
      <c r="Q86" s="20" t="s">
        <v>38</v>
      </c>
      <c r="R86" s="16">
        <v>0.126</v>
      </c>
      <c r="S86" s="20" t="s">
        <v>38</v>
      </c>
      <c r="T86" s="23">
        <v>0.32900000000000001</v>
      </c>
      <c r="U86" s="23">
        <v>0.36</v>
      </c>
      <c r="V86" s="23">
        <v>0.33800000000000002</v>
      </c>
      <c r="W86" s="23">
        <v>0.36899999999999999</v>
      </c>
      <c r="X86" s="19">
        <v>0.33100000000000002</v>
      </c>
      <c r="Y86" s="7">
        <v>0.375</v>
      </c>
      <c r="Z86" s="19">
        <v>0.35499999999999998</v>
      </c>
      <c r="AA86" s="19">
        <v>0.36399999999999999</v>
      </c>
      <c r="AB86" s="19">
        <v>0.36499999999999999</v>
      </c>
      <c r="AC86" s="7">
        <v>0.35499999999999998</v>
      </c>
      <c r="AD86" s="24">
        <v>0.35099999999999998</v>
      </c>
      <c r="AE86" s="24">
        <v>0.32100000000000001</v>
      </c>
      <c r="AF86" s="24">
        <v>0.25</v>
      </c>
      <c r="AG86" s="24">
        <v>0.255</v>
      </c>
      <c r="AH86" s="24">
        <v>0.218</v>
      </c>
      <c r="AI86" s="24">
        <v>0.24299999999999999</v>
      </c>
      <c r="AJ86" s="24">
        <v>0.23300000000000001</v>
      </c>
      <c r="AK86" s="24">
        <v>0.21199999999999999</v>
      </c>
      <c r="AL86" s="24">
        <v>0.24099999999999999</v>
      </c>
      <c r="AM86" s="24">
        <v>0.22</v>
      </c>
      <c r="AN86" s="51">
        <v>0.30099999999999999</v>
      </c>
      <c r="AO86" s="51">
        <v>0.23599999999999999</v>
      </c>
      <c r="AP86" s="51">
        <v>0.19700000000000001</v>
      </c>
      <c r="AQ86" s="51">
        <v>0.32300000000000001</v>
      </c>
      <c r="AR86" s="51">
        <v>0.3</v>
      </c>
      <c r="AS86" s="51" t="s">
        <v>38</v>
      </c>
      <c r="AT86" s="51">
        <v>0.16800000000000001</v>
      </c>
      <c r="AU86" s="51">
        <v>0.26200000000000001</v>
      </c>
      <c r="AV86" s="51">
        <v>0.25900000000000001</v>
      </c>
      <c r="AW86" s="51">
        <v>0.21</v>
      </c>
      <c r="AX86" s="51">
        <v>0.217</v>
      </c>
      <c r="AY86" s="51">
        <v>0.223</v>
      </c>
      <c r="AZ86" s="51">
        <v>0.221</v>
      </c>
      <c r="BA86" s="51">
        <v>0.217</v>
      </c>
      <c r="BB86" s="52">
        <v>0.16800000000000001</v>
      </c>
      <c r="BC86" s="51">
        <v>0.157</v>
      </c>
      <c r="BD86" s="62">
        <v>0.26200000000000001</v>
      </c>
      <c r="BE86" s="20" t="s">
        <v>38</v>
      </c>
      <c r="BF86" s="53">
        <v>0.23699999999999999</v>
      </c>
      <c r="BG86" s="51">
        <v>0.36899999999999999</v>
      </c>
      <c r="BH86" s="38">
        <v>0.309</v>
      </c>
      <c r="BI86" s="38">
        <v>0.314</v>
      </c>
      <c r="BJ86" s="38">
        <v>0.32350000000000001</v>
      </c>
      <c r="BK86" s="38">
        <v>0.317</v>
      </c>
      <c r="BL86" s="38">
        <v>0.32899999999999996</v>
      </c>
      <c r="BM86" s="38">
        <v>0.33600000000000002</v>
      </c>
      <c r="BN86" s="20" t="s">
        <v>38</v>
      </c>
      <c r="BO86" s="51">
        <v>0.32</v>
      </c>
      <c r="BP86" s="38">
        <v>0.313</v>
      </c>
      <c r="BQ86" s="38">
        <v>0.27</v>
      </c>
      <c r="BR86" s="56">
        <v>0.29099999999999998</v>
      </c>
      <c r="BS86" s="20" t="s">
        <v>38</v>
      </c>
      <c r="BT86" s="56">
        <v>0.27550000000000002</v>
      </c>
      <c r="BU86" s="42">
        <v>0.25600000000000001</v>
      </c>
      <c r="BV86" s="56">
        <v>0.2525</v>
      </c>
      <c r="BW86" s="20" t="s">
        <v>38</v>
      </c>
      <c r="BX86" s="20" t="s">
        <v>38</v>
      </c>
      <c r="BY86" s="85">
        <f>(0.411+0.414)/2</f>
        <v>0.41249999999999998</v>
      </c>
      <c r="BZ86" s="85">
        <f>(0.358+0.356)/2</f>
        <v>0.35699999999999998</v>
      </c>
      <c r="CA86" s="87">
        <v>0.54349999999999998</v>
      </c>
    </row>
    <row r="87" spans="1:79">
      <c r="A87" s="29" t="s">
        <v>30</v>
      </c>
      <c r="B87" s="82">
        <v>254540.82258800001</v>
      </c>
      <c r="C87" s="82">
        <v>4505618.2169500003</v>
      </c>
      <c r="D87" s="20" t="s">
        <v>38</v>
      </c>
      <c r="E87" s="20">
        <v>0.1515</v>
      </c>
      <c r="F87" s="20">
        <v>0.16400000000000001</v>
      </c>
      <c r="G87" s="20">
        <v>0.18</v>
      </c>
      <c r="H87" s="20">
        <v>0.183</v>
      </c>
      <c r="I87" s="20">
        <v>0.13950000000000001</v>
      </c>
      <c r="J87" s="20">
        <v>0.14650000000000002</v>
      </c>
      <c r="K87" s="20">
        <v>0.13950000000000001</v>
      </c>
      <c r="L87" s="20">
        <v>0.249</v>
      </c>
      <c r="M87" s="20">
        <v>0.1275</v>
      </c>
      <c r="N87" s="16">
        <v>0.13650000000000001</v>
      </c>
      <c r="O87" s="16">
        <v>0.1225</v>
      </c>
      <c r="P87" s="20" t="s">
        <v>38</v>
      </c>
      <c r="Q87" s="16">
        <v>0.13450000000000001</v>
      </c>
      <c r="R87" s="20" t="s">
        <v>38</v>
      </c>
      <c r="S87" s="16">
        <v>0.13400000000000001</v>
      </c>
      <c r="T87" s="16">
        <v>0.219</v>
      </c>
      <c r="U87" s="16">
        <v>0.219</v>
      </c>
      <c r="V87" s="16">
        <v>0.23300000000000001</v>
      </c>
      <c r="W87" s="16">
        <v>0.245</v>
      </c>
      <c r="X87" s="19">
        <v>0.19900000000000001</v>
      </c>
      <c r="Y87" s="7" t="s">
        <v>38</v>
      </c>
      <c r="Z87" s="19">
        <v>0.20799999999999999</v>
      </c>
      <c r="AA87" s="19">
        <v>0.20799999999999999</v>
      </c>
      <c r="AB87" s="19">
        <v>0.26800000000000002</v>
      </c>
      <c r="AC87" s="7">
        <v>0.19900000000000001</v>
      </c>
      <c r="AD87" s="24">
        <v>0.2</v>
      </c>
      <c r="AE87" s="24" t="s">
        <v>38</v>
      </c>
      <c r="AF87" s="24">
        <v>0.16700000000000001</v>
      </c>
      <c r="AG87" s="24">
        <v>0.16400000000000001</v>
      </c>
      <c r="AH87" s="24">
        <v>0.16700000000000001</v>
      </c>
      <c r="AI87" s="24" t="s">
        <v>38</v>
      </c>
      <c r="AJ87" s="24" t="s">
        <v>38</v>
      </c>
      <c r="AK87" s="24">
        <v>0.17699999999999999</v>
      </c>
      <c r="AL87" s="24" t="s">
        <v>38</v>
      </c>
      <c r="AM87" s="24">
        <v>0.26100000000000001</v>
      </c>
      <c r="AN87" s="51">
        <v>0.23</v>
      </c>
      <c r="AO87" s="51" t="s">
        <v>38</v>
      </c>
      <c r="AP87" s="51" t="s">
        <v>38</v>
      </c>
      <c r="AQ87" s="51">
        <v>0.14199999999999999</v>
      </c>
      <c r="AR87" s="51" t="s">
        <v>38</v>
      </c>
      <c r="AS87" s="51" t="s">
        <v>38</v>
      </c>
      <c r="AT87" s="51" t="s">
        <v>38</v>
      </c>
      <c r="AU87" s="51">
        <v>0.13300000000000001</v>
      </c>
      <c r="AV87" s="51" t="s">
        <v>38</v>
      </c>
      <c r="AW87" s="51" t="s">
        <v>38</v>
      </c>
      <c r="AX87" s="51" t="s">
        <v>38</v>
      </c>
      <c r="AY87" s="51">
        <v>0.14199999999999999</v>
      </c>
      <c r="AZ87" s="51">
        <v>0.11899999999999999</v>
      </c>
      <c r="BA87" s="51">
        <v>0.115</v>
      </c>
      <c r="BB87" s="52">
        <v>8.5499999999999993E-2</v>
      </c>
      <c r="BC87" s="51">
        <v>8.5499999999999993E-2</v>
      </c>
      <c r="BD87" s="62">
        <v>0.11849999999999999</v>
      </c>
      <c r="BE87" s="20" t="s">
        <v>38</v>
      </c>
      <c r="BF87" s="53">
        <v>0.14849999999999999</v>
      </c>
      <c r="BG87" s="51">
        <v>0.17199999999999999</v>
      </c>
      <c r="BH87" s="38" t="s">
        <v>38</v>
      </c>
      <c r="BI87" s="38" t="s">
        <v>38</v>
      </c>
      <c r="BJ87" s="55" t="s">
        <v>38</v>
      </c>
      <c r="BK87" s="38">
        <v>0.192</v>
      </c>
      <c r="BL87" s="20" t="s">
        <v>38</v>
      </c>
      <c r="BM87" s="20" t="s">
        <v>38</v>
      </c>
      <c r="BN87" s="20" t="s">
        <v>38</v>
      </c>
      <c r="BO87" s="20" t="s">
        <v>38</v>
      </c>
      <c r="BP87" s="20" t="s">
        <v>38</v>
      </c>
      <c r="BQ87" s="38">
        <v>0.123</v>
      </c>
      <c r="BR87" s="56">
        <v>0.1295</v>
      </c>
      <c r="BS87" s="20" t="s">
        <v>38</v>
      </c>
      <c r="BT87" s="56">
        <v>0.13650000000000001</v>
      </c>
      <c r="BU87" s="42">
        <v>0.11899999999999999</v>
      </c>
      <c r="BV87" s="56" t="s">
        <v>38</v>
      </c>
      <c r="BW87" s="42">
        <v>0.14300000000000002</v>
      </c>
      <c r="BX87" s="42" t="s">
        <v>38</v>
      </c>
      <c r="BY87" s="85">
        <f>(0.203+0.22)/2</f>
        <v>0.21150000000000002</v>
      </c>
      <c r="BZ87" s="85">
        <f>(0.277+0.217)/2</f>
        <v>0.247</v>
      </c>
      <c r="CA87" s="87">
        <v>0.46050000000000002</v>
      </c>
    </row>
    <row r="88" spans="1:79">
      <c r="A88" s="29" t="s">
        <v>31</v>
      </c>
      <c r="B88" s="82">
        <v>254538.99475700001</v>
      </c>
      <c r="C88" s="82">
        <v>4505617.5153299998</v>
      </c>
      <c r="D88" s="20" t="s">
        <v>38</v>
      </c>
      <c r="E88" s="20">
        <v>0.24</v>
      </c>
      <c r="F88" s="20">
        <v>0.21</v>
      </c>
      <c r="G88" s="20">
        <v>0.2555</v>
      </c>
      <c r="H88" s="20">
        <v>0.23299999999999998</v>
      </c>
      <c r="I88" s="20">
        <v>0.2135</v>
      </c>
      <c r="J88" s="20">
        <v>0.1875</v>
      </c>
      <c r="K88" s="20">
        <v>0.14499999999999999</v>
      </c>
      <c r="L88" s="20">
        <v>0.17099999999999999</v>
      </c>
      <c r="M88" s="20">
        <v>0.14549999999999999</v>
      </c>
      <c r="N88" s="16">
        <v>0.151</v>
      </c>
      <c r="O88" s="16">
        <v>0.13800000000000001</v>
      </c>
      <c r="P88" s="20" t="s">
        <v>38</v>
      </c>
      <c r="Q88" s="16">
        <v>0.17849999999999999</v>
      </c>
      <c r="R88" s="20" t="s">
        <v>38</v>
      </c>
      <c r="S88" s="20" t="s">
        <v>38</v>
      </c>
      <c r="T88" s="16">
        <v>0.25900000000000001</v>
      </c>
      <c r="U88" s="16">
        <v>0.27100000000000002</v>
      </c>
      <c r="V88" s="16">
        <v>0.24299999999999999</v>
      </c>
      <c r="W88" s="16">
        <v>0.26100000000000001</v>
      </c>
      <c r="X88" s="19">
        <v>0.247</v>
      </c>
      <c r="Y88" s="7" t="s">
        <v>38</v>
      </c>
      <c r="Z88" s="19">
        <v>0.24299999999999999</v>
      </c>
      <c r="AA88" s="19">
        <v>0.24</v>
      </c>
      <c r="AB88" s="19">
        <v>0.33400000000000002</v>
      </c>
      <c r="AC88" s="7">
        <v>0.26100000000000001</v>
      </c>
      <c r="AD88" s="24">
        <v>0.25700000000000001</v>
      </c>
      <c r="AE88" s="24" t="s">
        <v>38</v>
      </c>
      <c r="AF88" s="24">
        <v>0.20300000000000001</v>
      </c>
      <c r="AG88" s="24">
        <v>0.185</v>
      </c>
      <c r="AH88" s="24">
        <v>0.17699999999999999</v>
      </c>
      <c r="AI88" s="24" t="s">
        <v>38</v>
      </c>
      <c r="AJ88" s="24" t="s">
        <v>38</v>
      </c>
      <c r="AK88" s="24">
        <v>0.191</v>
      </c>
      <c r="AL88" s="24" t="s">
        <v>38</v>
      </c>
      <c r="AM88" s="24">
        <v>0.26600000000000001</v>
      </c>
      <c r="AN88" s="51">
        <v>0.245</v>
      </c>
      <c r="AO88" s="51" t="s">
        <v>38</v>
      </c>
      <c r="AP88" s="51" t="s">
        <v>38</v>
      </c>
      <c r="AQ88" s="51">
        <v>0.215</v>
      </c>
      <c r="AR88" s="51" t="s">
        <v>38</v>
      </c>
      <c r="AS88" s="51" t="s">
        <v>38</v>
      </c>
      <c r="AT88" s="51" t="s">
        <v>38</v>
      </c>
      <c r="AU88" s="51">
        <v>0.161</v>
      </c>
      <c r="AV88" s="51" t="s">
        <v>38</v>
      </c>
      <c r="AW88" s="51" t="s">
        <v>38</v>
      </c>
      <c r="AX88" s="51" t="s">
        <v>38</v>
      </c>
      <c r="AY88" s="51">
        <v>0.17899999999999999</v>
      </c>
      <c r="AZ88" s="51">
        <v>0.17599999999999999</v>
      </c>
      <c r="BA88" s="51">
        <v>0.16300000000000001</v>
      </c>
      <c r="BB88" s="52">
        <v>0.13600000000000001</v>
      </c>
      <c r="BC88" s="51">
        <v>0.17249999999999999</v>
      </c>
      <c r="BD88" s="62">
        <v>0.17849999999999999</v>
      </c>
      <c r="BE88" s="20" t="s">
        <v>38</v>
      </c>
      <c r="BF88" s="53">
        <v>0.20449999999999999</v>
      </c>
      <c r="BG88" s="51">
        <v>0.23250000000000001</v>
      </c>
      <c r="BH88" s="38" t="s">
        <v>38</v>
      </c>
      <c r="BI88" s="38" t="s">
        <v>38</v>
      </c>
      <c r="BJ88" s="55" t="s">
        <v>38</v>
      </c>
      <c r="BK88" s="38">
        <v>0.23449999999999999</v>
      </c>
      <c r="BL88" s="20" t="s">
        <v>38</v>
      </c>
      <c r="BM88" s="20" t="s">
        <v>38</v>
      </c>
      <c r="BN88" s="20" t="s">
        <v>38</v>
      </c>
      <c r="BO88" s="20" t="s">
        <v>38</v>
      </c>
      <c r="BP88" s="20" t="s">
        <v>38</v>
      </c>
      <c r="BQ88" s="38">
        <v>0.1895</v>
      </c>
      <c r="BR88" s="56">
        <v>0.1835</v>
      </c>
      <c r="BS88" s="20" t="s">
        <v>38</v>
      </c>
      <c r="BT88" s="56">
        <v>0.189</v>
      </c>
      <c r="BU88" s="42">
        <v>0.19400000000000001</v>
      </c>
      <c r="BV88" s="56" t="s">
        <v>38</v>
      </c>
      <c r="BW88" s="42" t="s">
        <v>38</v>
      </c>
      <c r="BX88" s="42" t="s">
        <v>38</v>
      </c>
      <c r="BY88" s="85">
        <f>(0.262+0.26)/2</f>
        <v>0.26100000000000001</v>
      </c>
      <c r="BZ88" s="85">
        <f>(0.314+0.327)/2</f>
        <v>0.32050000000000001</v>
      </c>
      <c r="CA88" s="87">
        <v>0.48649999999999999</v>
      </c>
    </row>
    <row r="89" spans="1:79">
      <c r="A89" s="29" t="s">
        <v>32</v>
      </c>
      <c r="B89" s="82">
        <v>254538.198217</v>
      </c>
      <c r="C89" s="82">
        <v>4505619.3421200002</v>
      </c>
      <c r="D89" s="20" t="s">
        <v>38</v>
      </c>
      <c r="E89" s="20">
        <v>0.33700000000000002</v>
      </c>
      <c r="F89" s="20">
        <v>0.35249999999999998</v>
      </c>
      <c r="G89" s="20">
        <v>0.36549999999999999</v>
      </c>
      <c r="H89" s="20">
        <v>0.33550000000000002</v>
      </c>
      <c r="I89" s="20">
        <v>0.3125</v>
      </c>
      <c r="J89" s="20">
        <v>0.28349999999999997</v>
      </c>
      <c r="K89" s="20">
        <v>0.22949999999999998</v>
      </c>
      <c r="L89" s="20">
        <v>0.1245</v>
      </c>
      <c r="M89" s="20">
        <v>0.22600000000000001</v>
      </c>
      <c r="N89" s="16">
        <v>0.20200000000000001</v>
      </c>
      <c r="O89" s="16">
        <v>0.21199999999999999</v>
      </c>
      <c r="P89" s="20" t="s">
        <v>38</v>
      </c>
      <c r="Q89" s="16">
        <v>0.248</v>
      </c>
      <c r="R89" s="20" t="s">
        <v>38</v>
      </c>
      <c r="S89" s="20" t="s">
        <v>38</v>
      </c>
      <c r="T89" s="16">
        <v>0.40400000000000003</v>
      </c>
      <c r="U89" s="16">
        <v>0.4</v>
      </c>
      <c r="V89" s="16">
        <v>0.39700000000000002</v>
      </c>
      <c r="W89" s="16">
        <v>0.50600000000000001</v>
      </c>
      <c r="X89" s="19">
        <v>0.40899999999999997</v>
      </c>
      <c r="Y89" s="7" t="s">
        <v>38</v>
      </c>
      <c r="Z89" s="19">
        <v>0.41199999999999998</v>
      </c>
      <c r="AA89" s="19">
        <v>0.41</v>
      </c>
      <c r="AB89" s="19">
        <v>0.40400000000000003</v>
      </c>
      <c r="AC89" s="7">
        <v>0.42099999999999999</v>
      </c>
      <c r="AD89" s="24">
        <v>0.41099999999999998</v>
      </c>
      <c r="AE89" s="24" t="s">
        <v>38</v>
      </c>
      <c r="AF89" s="24">
        <v>0.29199999999999998</v>
      </c>
      <c r="AG89" s="24">
        <v>0.27800000000000002</v>
      </c>
      <c r="AH89" s="24">
        <v>0.26700000000000002</v>
      </c>
      <c r="AI89" s="24" t="s">
        <v>38</v>
      </c>
      <c r="AJ89" s="24" t="s">
        <v>38</v>
      </c>
      <c r="AK89" s="24">
        <v>0.245</v>
      </c>
      <c r="AL89" s="24" t="s">
        <v>38</v>
      </c>
      <c r="AM89" s="24">
        <v>0.55600000000000005</v>
      </c>
      <c r="AN89" s="51">
        <v>0.34300000000000003</v>
      </c>
      <c r="AO89" s="51" t="s">
        <v>38</v>
      </c>
      <c r="AP89" s="51" t="s">
        <v>38</v>
      </c>
      <c r="AQ89" s="51">
        <v>0.317</v>
      </c>
      <c r="AR89" s="51" t="s">
        <v>38</v>
      </c>
      <c r="AS89" s="51" t="s">
        <v>38</v>
      </c>
      <c r="AT89" s="51" t="s">
        <v>38</v>
      </c>
      <c r="AU89" s="51">
        <v>0.22</v>
      </c>
      <c r="AV89" s="51" t="s">
        <v>38</v>
      </c>
      <c r="AW89" s="51" t="s">
        <v>38</v>
      </c>
      <c r="AX89" s="51" t="s">
        <v>38</v>
      </c>
      <c r="AY89" s="51">
        <v>0.26</v>
      </c>
      <c r="AZ89" s="51">
        <v>0.26</v>
      </c>
      <c r="BA89" s="51">
        <v>0.26500000000000001</v>
      </c>
      <c r="BB89" s="52">
        <v>0.19750000000000001</v>
      </c>
      <c r="BC89" s="51">
        <v>0.26700000000000002</v>
      </c>
      <c r="BD89" s="62">
        <v>0.27549999999999997</v>
      </c>
      <c r="BE89" s="20" t="s">
        <v>38</v>
      </c>
      <c r="BF89" s="53">
        <v>0.30149999999999999</v>
      </c>
      <c r="BG89" s="51">
        <v>0.38600000000000001</v>
      </c>
      <c r="BH89" s="38" t="s">
        <v>38</v>
      </c>
      <c r="BI89" s="38" t="s">
        <v>38</v>
      </c>
      <c r="BJ89" s="55" t="s">
        <v>38</v>
      </c>
      <c r="BK89" s="38">
        <v>0.32500000000000001</v>
      </c>
      <c r="BL89" s="20" t="s">
        <v>38</v>
      </c>
      <c r="BM89" s="20" t="s">
        <v>38</v>
      </c>
      <c r="BN89" s="20" t="s">
        <v>38</v>
      </c>
      <c r="BO89" s="20" t="s">
        <v>38</v>
      </c>
      <c r="BP89" s="20" t="s">
        <v>38</v>
      </c>
      <c r="BQ89" s="38">
        <v>0.28499999999999998</v>
      </c>
      <c r="BR89" s="56">
        <v>0.28999999999999998</v>
      </c>
      <c r="BS89" s="20" t="s">
        <v>38</v>
      </c>
      <c r="BT89" s="56">
        <v>0.27700000000000002</v>
      </c>
      <c r="BU89" s="42">
        <v>0.26100000000000001</v>
      </c>
      <c r="BV89" s="56" t="s">
        <v>38</v>
      </c>
      <c r="BW89" s="42" t="s">
        <v>38</v>
      </c>
      <c r="BX89" s="42" t="s">
        <v>38</v>
      </c>
      <c r="BY89" s="85">
        <f>(0.338+0.36)/2</f>
        <v>0.34899999999999998</v>
      </c>
      <c r="BZ89" s="85">
        <f>(0.361+0.349)/2</f>
        <v>0.35499999999999998</v>
      </c>
      <c r="CA89" s="87">
        <v>0.48549999999999999</v>
      </c>
    </row>
    <row r="90" spans="1:79">
      <c r="A90" s="29" t="s">
        <v>33</v>
      </c>
      <c r="B90" s="82">
        <v>254539.991026</v>
      </c>
      <c r="C90" s="82">
        <v>4505620.2901600003</v>
      </c>
      <c r="D90" s="20" t="s">
        <v>38</v>
      </c>
      <c r="E90" s="20">
        <v>0.30249999999999999</v>
      </c>
      <c r="F90" s="20">
        <v>0.36049999999999999</v>
      </c>
      <c r="G90" s="20">
        <v>0.34299999999999997</v>
      </c>
      <c r="H90" s="20">
        <v>0.34699999999999998</v>
      </c>
      <c r="I90" s="20">
        <v>0.30249999999999999</v>
      </c>
      <c r="J90" s="20">
        <v>0.29499999999999998</v>
      </c>
      <c r="K90" s="20">
        <v>0.36299999999999999</v>
      </c>
      <c r="L90" s="20">
        <v>0.22949999999999998</v>
      </c>
      <c r="M90" s="20">
        <v>0.222</v>
      </c>
      <c r="N90" s="16">
        <v>0.19800000000000001</v>
      </c>
      <c r="O90" s="16">
        <v>0.23849999999999999</v>
      </c>
      <c r="P90" s="16">
        <v>0.19750000000000001</v>
      </c>
      <c r="Q90" s="16">
        <v>0.23549999999999999</v>
      </c>
      <c r="R90" s="20" t="s">
        <v>38</v>
      </c>
      <c r="S90" s="20" t="s">
        <v>38</v>
      </c>
      <c r="T90" s="16">
        <v>0.39100000000000001</v>
      </c>
      <c r="U90" s="16">
        <v>0.38400000000000001</v>
      </c>
      <c r="V90" s="16">
        <v>0.38300000000000001</v>
      </c>
      <c r="W90" s="16">
        <v>0.47399999999999998</v>
      </c>
      <c r="X90" s="19">
        <v>0.379</v>
      </c>
      <c r="Y90" s="7" t="s">
        <v>38</v>
      </c>
      <c r="Z90" s="19">
        <v>0.38700000000000001</v>
      </c>
      <c r="AA90" s="19">
        <v>0.373</v>
      </c>
      <c r="AB90" s="19">
        <v>0.377</v>
      </c>
      <c r="AC90" s="7">
        <v>0.41</v>
      </c>
      <c r="AD90" s="24">
        <v>0.38600000000000001</v>
      </c>
      <c r="AE90" s="24" t="s">
        <v>38</v>
      </c>
      <c r="AF90" s="24">
        <v>0.26500000000000001</v>
      </c>
      <c r="AG90" s="24">
        <v>0.26700000000000002</v>
      </c>
      <c r="AH90" s="24">
        <v>0.247</v>
      </c>
      <c r="AI90" s="24" t="s">
        <v>38</v>
      </c>
      <c r="AJ90" s="24" t="s">
        <v>38</v>
      </c>
      <c r="AK90" s="24">
        <v>0.24399999999999999</v>
      </c>
      <c r="AL90" s="24" t="s">
        <v>38</v>
      </c>
      <c r="AM90" s="24">
        <v>0.34899999999999998</v>
      </c>
      <c r="AN90" s="51">
        <v>0.33300000000000002</v>
      </c>
      <c r="AO90" s="51" t="s">
        <v>38</v>
      </c>
      <c r="AP90" s="51" t="s">
        <v>38</v>
      </c>
      <c r="AQ90" s="51">
        <v>0.34100000000000003</v>
      </c>
      <c r="AR90" s="51" t="s">
        <v>38</v>
      </c>
      <c r="AS90" s="51" t="s">
        <v>38</v>
      </c>
      <c r="AT90" s="51" t="s">
        <v>38</v>
      </c>
      <c r="AU90" s="51">
        <v>0.27700000000000002</v>
      </c>
      <c r="AV90" s="51" t="s">
        <v>38</v>
      </c>
      <c r="AW90" s="51" t="s">
        <v>38</v>
      </c>
      <c r="AX90" s="51" t="s">
        <v>38</v>
      </c>
      <c r="AY90" s="51">
        <v>0.19900000000000001</v>
      </c>
      <c r="AZ90" s="51">
        <v>0.21</v>
      </c>
      <c r="BA90" s="51">
        <v>0.21299999999999999</v>
      </c>
      <c r="BB90" s="52">
        <v>0.16349999999999998</v>
      </c>
      <c r="BC90" s="51">
        <v>0.26650000000000001</v>
      </c>
      <c r="BD90" s="62">
        <v>0.23199999999999998</v>
      </c>
      <c r="BE90" s="20" t="s">
        <v>38</v>
      </c>
      <c r="BF90" s="53">
        <v>0.21</v>
      </c>
      <c r="BG90" s="51">
        <v>0.373</v>
      </c>
      <c r="BH90" s="38" t="s">
        <v>38</v>
      </c>
      <c r="BI90" s="38" t="s">
        <v>38</v>
      </c>
      <c r="BJ90" s="55" t="s">
        <v>38</v>
      </c>
      <c r="BK90" s="38">
        <v>0.32400000000000001</v>
      </c>
      <c r="BL90" s="20" t="s">
        <v>38</v>
      </c>
      <c r="BM90" s="20" t="s">
        <v>38</v>
      </c>
      <c r="BN90" s="20" t="s">
        <v>38</v>
      </c>
      <c r="BO90" s="20" t="s">
        <v>38</v>
      </c>
      <c r="BP90" s="20" t="s">
        <v>38</v>
      </c>
      <c r="BQ90" s="38">
        <v>0.25800000000000001</v>
      </c>
      <c r="BR90" s="56">
        <v>0.27100000000000002</v>
      </c>
      <c r="BS90" s="20" t="s">
        <v>38</v>
      </c>
      <c r="BT90" s="56">
        <v>0.22450000000000001</v>
      </c>
      <c r="BU90" s="42">
        <v>0.253</v>
      </c>
      <c r="BV90" s="56" t="s">
        <v>38</v>
      </c>
      <c r="BW90" s="42" t="s">
        <v>38</v>
      </c>
      <c r="BX90" s="42" t="s">
        <v>38</v>
      </c>
      <c r="BY90" s="85">
        <f>(0.34+0.361)/2</f>
        <v>0.35050000000000003</v>
      </c>
      <c r="BZ90" s="85">
        <f>(0.317+0.332)/2</f>
        <v>0.32450000000000001</v>
      </c>
      <c r="CA90" s="87">
        <v>0.45850000000000002</v>
      </c>
    </row>
    <row r="91" spans="1:79">
      <c r="A91" s="29">
        <v>62</v>
      </c>
      <c r="B91" s="82">
        <v>254529.63870800001</v>
      </c>
      <c r="C91" s="82">
        <v>4505611.6253199996</v>
      </c>
      <c r="D91" s="20" t="s">
        <v>38</v>
      </c>
      <c r="E91" s="20" t="s">
        <v>38</v>
      </c>
      <c r="F91" s="20" t="s">
        <v>38</v>
      </c>
      <c r="G91" s="20" t="s">
        <v>38</v>
      </c>
      <c r="H91" s="20" t="s">
        <v>38</v>
      </c>
      <c r="I91" s="20" t="s">
        <v>38</v>
      </c>
      <c r="J91" s="20" t="s">
        <v>38</v>
      </c>
      <c r="K91" s="20" t="s">
        <v>38</v>
      </c>
      <c r="L91" s="20" t="s">
        <v>38</v>
      </c>
      <c r="M91" s="20" t="s">
        <v>38</v>
      </c>
      <c r="N91" s="20" t="s">
        <v>38</v>
      </c>
      <c r="O91" s="20" t="s">
        <v>38</v>
      </c>
      <c r="P91" s="20" t="s">
        <v>38</v>
      </c>
      <c r="Q91" s="20" t="s">
        <v>38</v>
      </c>
      <c r="R91" s="20" t="s">
        <v>38</v>
      </c>
      <c r="S91" s="20" t="s">
        <v>38</v>
      </c>
      <c r="T91" s="20" t="s">
        <v>38</v>
      </c>
      <c r="U91" s="20" t="s">
        <v>38</v>
      </c>
      <c r="V91" s="20" t="s">
        <v>38</v>
      </c>
      <c r="W91" s="20" t="s">
        <v>38</v>
      </c>
      <c r="X91" s="20" t="s">
        <v>38</v>
      </c>
      <c r="Y91" s="20" t="s">
        <v>38</v>
      </c>
      <c r="Z91" s="20" t="s">
        <v>38</v>
      </c>
      <c r="AA91" s="20" t="s">
        <v>38</v>
      </c>
      <c r="AB91" s="20" t="s">
        <v>38</v>
      </c>
      <c r="AC91" s="20" t="s">
        <v>38</v>
      </c>
      <c r="AD91" s="20" t="s">
        <v>38</v>
      </c>
      <c r="AE91" s="20" t="s">
        <v>38</v>
      </c>
      <c r="AF91" s="20" t="s">
        <v>38</v>
      </c>
      <c r="AG91" s="20" t="s">
        <v>38</v>
      </c>
      <c r="AH91" s="20" t="s">
        <v>38</v>
      </c>
      <c r="AI91" s="20" t="s">
        <v>38</v>
      </c>
      <c r="AJ91" s="20" t="s">
        <v>38</v>
      </c>
      <c r="AK91" s="20" t="s">
        <v>38</v>
      </c>
      <c r="AL91" s="20" t="s">
        <v>38</v>
      </c>
      <c r="AM91" s="20" t="s">
        <v>38</v>
      </c>
      <c r="AN91" s="20" t="s">
        <v>38</v>
      </c>
      <c r="AO91" s="20" t="s">
        <v>38</v>
      </c>
      <c r="AP91" s="20" t="s">
        <v>38</v>
      </c>
      <c r="AQ91" s="20" t="s">
        <v>38</v>
      </c>
      <c r="AR91" s="20" t="s">
        <v>38</v>
      </c>
      <c r="AS91" s="20" t="s">
        <v>38</v>
      </c>
      <c r="AT91" s="20" t="s">
        <v>38</v>
      </c>
      <c r="AU91" s="20" t="s">
        <v>38</v>
      </c>
      <c r="AV91" s="20" t="s">
        <v>38</v>
      </c>
      <c r="AW91" s="20" t="s">
        <v>38</v>
      </c>
      <c r="AX91" s="20" t="s">
        <v>38</v>
      </c>
      <c r="AY91" s="20" t="s">
        <v>38</v>
      </c>
      <c r="AZ91" s="20" t="s">
        <v>38</v>
      </c>
      <c r="BA91" s="20" t="s">
        <v>38</v>
      </c>
      <c r="BB91" s="20" t="s">
        <v>38</v>
      </c>
      <c r="BC91" s="20" t="s">
        <v>38</v>
      </c>
      <c r="BD91" s="20" t="s">
        <v>38</v>
      </c>
      <c r="BE91" s="20" t="s">
        <v>38</v>
      </c>
      <c r="BF91" s="20" t="s">
        <v>38</v>
      </c>
      <c r="BG91" s="20" t="s">
        <v>38</v>
      </c>
      <c r="BH91" s="20" t="s">
        <v>38</v>
      </c>
      <c r="BI91" s="20" t="s">
        <v>38</v>
      </c>
      <c r="BJ91" s="20" t="s">
        <v>38</v>
      </c>
      <c r="BK91" s="20" t="s">
        <v>38</v>
      </c>
      <c r="BL91" s="20" t="s">
        <v>38</v>
      </c>
      <c r="BM91" s="20" t="s">
        <v>38</v>
      </c>
      <c r="BN91" s="20" t="s">
        <v>38</v>
      </c>
      <c r="BO91" s="20" t="s">
        <v>38</v>
      </c>
      <c r="BP91" s="20" t="s">
        <v>38</v>
      </c>
      <c r="BQ91" s="20" t="s">
        <v>38</v>
      </c>
      <c r="BR91" s="20" t="s">
        <v>38</v>
      </c>
      <c r="BS91" s="20" t="s">
        <v>38</v>
      </c>
      <c r="BT91" s="20" t="s">
        <v>38</v>
      </c>
      <c r="BU91" s="20" t="s">
        <v>38</v>
      </c>
      <c r="BV91" s="20" t="s">
        <v>38</v>
      </c>
      <c r="BW91" s="20" t="s">
        <v>38</v>
      </c>
      <c r="BX91" s="20" t="s">
        <v>38</v>
      </c>
      <c r="BY91" s="61" t="s">
        <v>38</v>
      </c>
      <c r="BZ91" s="61" t="s">
        <v>38</v>
      </c>
      <c r="CA91" s="87" t="s">
        <v>38</v>
      </c>
    </row>
    <row r="92" spans="1:79">
      <c r="A92" s="29">
        <v>63</v>
      </c>
      <c r="B92" s="82">
        <v>254551.13957</v>
      </c>
      <c r="C92" s="82">
        <v>4505625.0883400002</v>
      </c>
      <c r="D92" s="20" t="s">
        <v>38</v>
      </c>
      <c r="E92" s="20" t="s">
        <v>38</v>
      </c>
      <c r="F92" s="20" t="s">
        <v>38</v>
      </c>
      <c r="G92" s="20" t="s">
        <v>38</v>
      </c>
      <c r="H92" s="20" t="s">
        <v>38</v>
      </c>
      <c r="I92" s="20" t="s">
        <v>38</v>
      </c>
      <c r="J92" s="20" t="s">
        <v>38</v>
      </c>
      <c r="K92" s="20" t="s">
        <v>38</v>
      </c>
      <c r="L92" s="20" t="s">
        <v>38</v>
      </c>
      <c r="M92" s="20" t="s">
        <v>38</v>
      </c>
      <c r="N92" s="20" t="s">
        <v>38</v>
      </c>
      <c r="O92" s="20" t="s">
        <v>38</v>
      </c>
      <c r="P92" s="20" t="s">
        <v>38</v>
      </c>
      <c r="Q92" s="20" t="s">
        <v>38</v>
      </c>
      <c r="R92" s="20" t="s">
        <v>38</v>
      </c>
      <c r="S92" s="20" t="s">
        <v>38</v>
      </c>
      <c r="T92" s="20" t="s">
        <v>38</v>
      </c>
      <c r="U92" s="20" t="s">
        <v>38</v>
      </c>
      <c r="V92" s="20" t="s">
        <v>38</v>
      </c>
      <c r="W92" s="20" t="s">
        <v>38</v>
      </c>
      <c r="X92" s="20" t="s">
        <v>38</v>
      </c>
      <c r="Y92" s="20" t="s">
        <v>38</v>
      </c>
      <c r="Z92" s="20" t="s">
        <v>38</v>
      </c>
      <c r="AA92" s="20" t="s">
        <v>38</v>
      </c>
      <c r="AB92" s="20" t="s">
        <v>38</v>
      </c>
      <c r="AC92" s="20" t="s">
        <v>38</v>
      </c>
      <c r="AD92" s="20" t="s">
        <v>38</v>
      </c>
      <c r="AE92" s="20" t="s">
        <v>38</v>
      </c>
      <c r="AF92" s="20" t="s">
        <v>38</v>
      </c>
      <c r="AG92" s="20" t="s">
        <v>38</v>
      </c>
      <c r="AH92" s="20" t="s">
        <v>38</v>
      </c>
      <c r="AI92" s="20" t="s">
        <v>38</v>
      </c>
      <c r="AJ92" s="20" t="s">
        <v>38</v>
      </c>
      <c r="AK92" s="20" t="s">
        <v>38</v>
      </c>
      <c r="AL92" s="20" t="s">
        <v>38</v>
      </c>
      <c r="AM92" s="20" t="s">
        <v>38</v>
      </c>
      <c r="AN92" s="20" t="s">
        <v>38</v>
      </c>
      <c r="AO92" s="20" t="s">
        <v>38</v>
      </c>
      <c r="AP92" s="20" t="s">
        <v>38</v>
      </c>
      <c r="AQ92" s="20" t="s">
        <v>38</v>
      </c>
      <c r="AR92" s="20" t="s">
        <v>38</v>
      </c>
      <c r="AS92" s="20" t="s">
        <v>38</v>
      </c>
      <c r="AT92" s="20" t="s">
        <v>38</v>
      </c>
      <c r="AU92" s="20" t="s">
        <v>38</v>
      </c>
      <c r="AV92" s="20" t="s">
        <v>38</v>
      </c>
      <c r="AW92" s="20" t="s">
        <v>38</v>
      </c>
      <c r="AX92" s="20" t="s">
        <v>38</v>
      </c>
      <c r="AY92" s="20" t="s">
        <v>38</v>
      </c>
      <c r="AZ92" s="20" t="s">
        <v>38</v>
      </c>
      <c r="BA92" s="20" t="s">
        <v>38</v>
      </c>
      <c r="BB92" s="20" t="s">
        <v>38</v>
      </c>
      <c r="BC92" s="20" t="s">
        <v>38</v>
      </c>
      <c r="BD92" s="20" t="s">
        <v>38</v>
      </c>
      <c r="BE92" s="20" t="s">
        <v>38</v>
      </c>
      <c r="BF92" s="20" t="s">
        <v>38</v>
      </c>
      <c r="BG92" s="20" t="s">
        <v>38</v>
      </c>
      <c r="BH92" s="20" t="s">
        <v>38</v>
      </c>
      <c r="BI92" s="20" t="s">
        <v>38</v>
      </c>
      <c r="BJ92" s="20" t="s">
        <v>38</v>
      </c>
      <c r="BK92" s="20" t="s">
        <v>38</v>
      </c>
      <c r="BL92" s="20" t="s">
        <v>38</v>
      </c>
      <c r="BM92" s="20" t="s">
        <v>38</v>
      </c>
      <c r="BN92" s="20" t="s">
        <v>38</v>
      </c>
      <c r="BO92" s="20" t="s">
        <v>38</v>
      </c>
      <c r="BP92" s="20" t="s">
        <v>38</v>
      </c>
      <c r="BQ92" s="20" t="s">
        <v>38</v>
      </c>
      <c r="BR92" s="20" t="s">
        <v>38</v>
      </c>
      <c r="BS92" s="20" t="s">
        <v>38</v>
      </c>
      <c r="BT92" s="20" t="s">
        <v>38</v>
      </c>
      <c r="BU92" s="20" t="s">
        <v>38</v>
      </c>
      <c r="BV92" s="20" t="s">
        <v>38</v>
      </c>
      <c r="BW92" s="20" t="s">
        <v>38</v>
      </c>
      <c r="BX92" s="20" t="s">
        <v>38</v>
      </c>
      <c r="BY92" s="61" t="s">
        <v>38</v>
      </c>
      <c r="BZ92" s="61" t="s">
        <v>38</v>
      </c>
      <c r="CA92" s="87" t="s">
        <v>38</v>
      </c>
    </row>
    <row r="93" spans="1:79">
      <c r="A93" s="29">
        <v>64</v>
      </c>
      <c r="B93" s="82">
        <v>254546.275371</v>
      </c>
      <c r="C93" s="82">
        <v>4505618.8425099999</v>
      </c>
      <c r="D93" s="20" t="s">
        <v>38</v>
      </c>
      <c r="E93" s="20" t="s">
        <v>38</v>
      </c>
      <c r="F93" s="20" t="s">
        <v>38</v>
      </c>
      <c r="G93" s="20" t="s">
        <v>38</v>
      </c>
      <c r="H93" s="20" t="s">
        <v>38</v>
      </c>
      <c r="I93" s="20" t="s">
        <v>38</v>
      </c>
      <c r="J93" s="20" t="s">
        <v>38</v>
      </c>
      <c r="K93" s="20" t="s">
        <v>38</v>
      </c>
      <c r="L93" s="20" t="s">
        <v>38</v>
      </c>
      <c r="M93" s="20" t="s">
        <v>38</v>
      </c>
      <c r="N93" s="20" t="s">
        <v>38</v>
      </c>
      <c r="O93" s="20" t="s">
        <v>38</v>
      </c>
      <c r="P93" s="20" t="s">
        <v>38</v>
      </c>
      <c r="Q93" s="20" t="s">
        <v>38</v>
      </c>
      <c r="R93" s="20" t="s">
        <v>38</v>
      </c>
      <c r="S93" s="20" t="s">
        <v>38</v>
      </c>
      <c r="T93" s="20" t="s">
        <v>38</v>
      </c>
      <c r="U93" s="20" t="s">
        <v>38</v>
      </c>
      <c r="V93" s="20" t="s">
        <v>38</v>
      </c>
      <c r="W93" s="20" t="s">
        <v>38</v>
      </c>
      <c r="X93" s="20" t="s">
        <v>38</v>
      </c>
      <c r="Y93" s="20" t="s">
        <v>38</v>
      </c>
      <c r="Z93" s="20" t="s">
        <v>38</v>
      </c>
      <c r="AA93" s="20" t="s">
        <v>38</v>
      </c>
      <c r="AB93" s="20" t="s">
        <v>38</v>
      </c>
      <c r="AC93" s="20" t="s">
        <v>38</v>
      </c>
      <c r="AD93" s="20" t="s">
        <v>38</v>
      </c>
      <c r="AE93" s="20" t="s">
        <v>38</v>
      </c>
      <c r="AF93" s="20" t="s">
        <v>38</v>
      </c>
      <c r="AG93" s="20" t="s">
        <v>38</v>
      </c>
      <c r="AH93" s="20" t="s">
        <v>38</v>
      </c>
      <c r="AI93" s="20" t="s">
        <v>38</v>
      </c>
      <c r="AJ93" s="20" t="s">
        <v>38</v>
      </c>
      <c r="AK93" s="20" t="s">
        <v>38</v>
      </c>
      <c r="AL93" s="20" t="s">
        <v>38</v>
      </c>
      <c r="AM93" s="20" t="s">
        <v>38</v>
      </c>
      <c r="AN93" s="20" t="s">
        <v>38</v>
      </c>
      <c r="AO93" s="20" t="s">
        <v>38</v>
      </c>
      <c r="AP93" s="20" t="s">
        <v>38</v>
      </c>
      <c r="AQ93" s="20" t="s">
        <v>38</v>
      </c>
      <c r="AR93" s="20" t="s">
        <v>38</v>
      </c>
      <c r="AS93" s="20" t="s">
        <v>38</v>
      </c>
      <c r="AT93" s="20" t="s">
        <v>38</v>
      </c>
      <c r="AU93" s="20" t="s">
        <v>38</v>
      </c>
      <c r="AV93" s="20" t="s">
        <v>38</v>
      </c>
      <c r="AW93" s="20" t="s">
        <v>38</v>
      </c>
      <c r="AX93" s="20" t="s">
        <v>38</v>
      </c>
      <c r="AY93" s="20" t="s">
        <v>38</v>
      </c>
      <c r="AZ93" s="20" t="s">
        <v>38</v>
      </c>
      <c r="BA93" s="20" t="s">
        <v>38</v>
      </c>
      <c r="BB93" s="20" t="s">
        <v>38</v>
      </c>
      <c r="BC93" s="20" t="s">
        <v>38</v>
      </c>
      <c r="BD93" s="20" t="s">
        <v>38</v>
      </c>
      <c r="BE93" s="20" t="s">
        <v>38</v>
      </c>
      <c r="BF93" s="20" t="s">
        <v>38</v>
      </c>
      <c r="BG93" s="20" t="s">
        <v>38</v>
      </c>
      <c r="BH93" s="20" t="s">
        <v>38</v>
      </c>
      <c r="BI93" s="20" t="s">
        <v>38</v>
      </c>
      <c r="BJ93" s="20" t="s">
        <v>38</v>
      </c>
      <c r="BK93" s="20" t="s">
        <v>38</v>
      </c>
      <c r="BL93" s="20" t="s">
        <v>38</v>
      </c>
      <c r="BM93" s="20" t="s">
        <v>38</v>
      </c>
      <c r="BN93" s="20" t="s">
        <v>38</v>
      </c>
      <c r="BO93" s="20" t="s">
        <v>38</v>
      </c>
      <c r="BP93" s="20" t="s">
        <v>38</v>
      </c>
      <c r="BQ93" s="20" t="s">
        <v>38</v>
      </c>
      <c r="BR93" s="20" t="s">
        <v>38</v>
      </c>
      <c r="BS93" s="20" t="s">
        <v>38</v>
      </c>
      <c r="BT93" s="20" t="s">
        <v>38</v>
      </c>
      <c r="BU93" s="20" t="s">
        <v>38</v>
      </c>
      <c r="BV93" s="20" t="s">
        <v>38</v>
      </c>
      <c r="BW93" s="20" t="s">
        <v>38</v>
      </c>
      <c r="BX93" s="20" t="s">
        <v>38</v>
      </c>
      <c r="BY93" s="61" t="s">
        <v>38</v>
      </c>
      <c r="BZ93" s="61" t="s">
        <v>38</v>
      </c>
      <c r="CA93" s="87" t="s">
        <v>38</v>
      </c>
    </row>
    <row r="94" spans="1:79">
      <c r="A94" s="29">
        <v>65</v>
      </c>
      <c r="B94" s="82">
        <v>254565.06507300001</v>
      </c>
      <c r="C94" s="82">
        <v>4505658.6095899995</v>
      </c>
      <c r="D94" s="20">
        <v>0.29049999999999998</v>
      </c>
      <c r="E94" s="20">
        <v>0.26050000000000001</v>
      </c>
      <c r="F94" s="20">
        <v>0.27050000000000002</v>
      </c>
      <c r="G94" s="20">
        <v>0.26650000000000001</v>
      </c>
      <c r="H94" s="20">
        <v>0.253</v>
      </c>
      <c r="I94" s="20">
        <v>0.22550000000000001</v>
      </c>
      <c r="J94" s="20">
        <v>0.219</v>
      </c>
      <c r="K94" s="20">
        <v>0.17499999999999999</v>
      </c>
      <c r="L94" s="20">
        <v>0.184</v>
      </c>
      <c r="M94" s="20">
        <v>0.16300000000000001</v>
      </c>
      <c r="N94" s="16">
        <v>0.17499999999999999</v>
      </c>
      <c r="O94" s="16">
        <v>0.159</v>
      </c>
      <c r="P94" s="16">
        <v>0.16950000000000001</v>
      </c>
      <c r="Q94" s="16">
        <v>0.1885</v>
      </c>
      <c r="R94" s="16">
        <v>0.215</v>
      </c>
      <c r="S94" s="16">
        <v>0.20749999999999999</v>
      </c>
      <c r="T94" s="16">
        <v>0.27300000000000002</v>
      </c>
      <c r="U94" s="16">
        <v>0.26500000000000001</v>
      </c>
      <c r="V94" s="16">
        <v>0.28199999999999997</v>
      </c>
      <c r="W94" s="16">
        <v>0.28599999999999998</v>
      </c>
      <c r="X94" s="19">
        <v>0.27500000000000002</v>
      </c>
      <c r="Y94" s="7">
        <v>0.249</v>
      </c>
      <c r="Z94" s="19">
        <v>0.27600000000000002</v>
      </c>
      <c r="AA94" s="19">
        <v>0.27400000000000002</v>
      </c>
      <c r="AB94" s="19">
        <v>0.28599999999999998</v>
      </c>
      <c r="AC94" s="7">
        <v>0.28199999999999997</v>
      </c>
      <c r="AD94" s="24">
        <v>0.26900000000000002</v>
      </c>
      <c r="AE94" s="24">
        <v>0.246</v>
      </c>
      <c r="AF94" s="24">
        <v>0.20399999999999999</v>
      </c>
      <c r="AG94" s="24">
        <v>0.221</v>
      </c>
      <c r="AH94" s="24">
        <v>0.188</v>
      </c>
      <c r="AI94" s="24">
        <v>0.22700000000000001</v>
      </c>
      <c r="AJ94" s="24">
        <v>0.192</v>
      </c>
      <c r="AK94" s="24">
        <v>0.17299999999999999</v>
      </c>
      <c r="AL94" s="24">
        <v>0.21299999999999999</v>
      </c>
      <c r="AM94" s="24">
        <v>0.27800000000000002</v>
      </c>
      <c r="AN94" s="51">
        <v>0.255</v>
      </c>
      <c r="AO94" s="51">
        <v>0.20799999999999999</v>
      </c>
      <c r="AP94" s="51">
        <v>0.217</v>
      </c>
      <c r="AQ94" s="51">
        <v>0.23799999999999999</v>
      </c>
      <c r="AR94" s="51">
        <v>0.24399999999999999</v>
      </c>
      <c r="AS94" s="51">
        <v>0.22500000000000001</v>
      </c>
      <c r="AT94" s="51">
        <v>0.218</v>
      </c>
      <c r="AU94" s="51">
        <v>0.20399999999999999</v>
      </c>
      <c r="AV94" s="51">
        <v>0.21</v>
      </c>
      <c r="AW94" s="51">
        <v>0.182</v>
      </c>
      <c r="AX94" s="51">
        <v>0.16300000000000001</v>
      </c>
      <c r="AY94" s="51">
        <v>0.20499999999999999</v>
      </c>
      <c r="AZ94" s="51">
        <v>0.17199999999999999</v>
      </c>
      <c r="BA94" s="51">
        <v>0.19400000000000001</v>
      </c>
      <c r="BB94" s="52">
        <v>0.14749999999999999</v>
      </c>
      <c r="BC94" s="51">
        <v>0.17249999999999999</v>
      </c>
      <c r="BD94" s="62">
        <v>0.2195</v>
      </c>
      <c r="BE94" s="20" t="s">
        <v>38</v>
      </c>
      <c r="BF94" s="20" t="s">
        <v>38</v>
      </c>
      <c r="BG94" s="51">
        <v>0.27750000000000002</v>
      </c>
      <c r="BH94" s="38">
        <v>0.23399999999999999</v>
      </c>
      <c r="BI94" s="38">
        <v>0.25650000000000001</v>
      </c>
      <c r="BJ94" s="38">
        <v>0.27750000000000002</v>
      </c>
      <c r="BK94" s="38">
        <v>0.2485</v>
      </c>
      <c r="BL94" s="38">
        <v>0.249</v>
      </c>
      <c r="BM94" s="38">
        <v>0.26500000000000001</v>
      </c>
      <c r="BN94" s="55" t="s">
        <v>38</v>
      </c>
      <c r="BO94" s="51">
        <v>0.26400000000000001</v>
      </c>
      <c r="BP94" s="38">
        <v>0.2555</v>
      </c>
      <c r="BQ94" s="38">
        <v>0.214</v>
      </c>
      <c r="BR94" s="56">
        <v>0.219</v>
      </c>
      <c r="BS94" s="20" t="s">
        <v>38</v>
      </c>
      <c r="BT94" s="56">
        <v>0.21099999999999999</v>
      </c>
      <c r="BU94" s="42">
        <v>0.187</v>
      </c>
      <c r="BV94" s="56">
        <v>0.20200000000000001</v>
      </c>
      <c r="BW94" s="42">
        <v>0.20849999999999999</v>
      </c>
      <c r="BX94" s="20" t="s">
        <v>38</v>
      </c>
      <c r="BY94" s="85">
        <f>(0.295+0.294)/2</f>
        <v>0.29449999999999998</v>
      </c>
      <c r="BZ94" s="85">
        <f>(0.384+0.385)/2</f>
        <v>0.38450000000000001</v>
      </c>
      <c r="CA94" s="87">
        <v>0.28399999999999997</v>
      </c>
    </row>
    <row r="95" spans="1:79">
      <c r="A95" s="29">
        <v>66</v>
      </c>
      <c r="B95" s="82">
        <v>254555.697189</v>
      </c>
      <c r="C95" s="82">
        <v>4505682.2836199999</v>
      </c>
      <c r="D95" s="20" t="s">
        <v>38</v>
      </c>
      <c r="E95" s="20" t="s">
        <v>38</v>
      </c>
      <c r="F95" s="20" t="s">
        <v>38</v>
      </c>
      <c r="G95" s="20" t="s">
        <v>38</v>
      </c>
      <c r="H95" s="20" t="s">
        <v>38</v>
      </c>
      <c r="I95" s="20" t="s">
        <v>38</v>
      </c>
      <c r="J95" s="20" t="s">
        <v>38</v>
      </c>
      <c r="K95" s="20" t="s">
        <v>38</v>
      </c>
      <c r="L95" s="20" t="s">
        <v>38</v>
      </c>
      <c r="M95" s="20" t="s">
        <v>38</v>
      </c>
      <c r="N95" s="20" t="s">
        <v>38</v>
      </c>
      <c r="O95" s="20" t="s">
        <v>38</v>
      </c>
      <c r="P95" s="20" t="s">
        <v>38</v>
      </c>
      <c r="Q95" s="20" t="s">
        <v>38</v>
      </c>
      <c r="R95" s="20" t="s">
        <v>38</v>
      </c>
      <c r="S95" s="20" t="s">
        <v>38</v>
      </c>
      <c r="T95" s="20" t="s">
        <v>38</v>
      </c>
      <c r="U95" s="20" t="s">
        <v>38</v>
      </c>
      <c r="V95" s="20" t="s">
        <v>38</v>
      </c>
      <c r="W95" s="20" t="s">
        <v>38</v>
      </c>
      <c r="X95" s="20" t="s">
        <v>38</v>
      </c>
      <c r="Y95" s="20" t="s">
        <v>38</v>
      </c>
      <c r="Z95" s="20" t="s">
        <v>38</v>
      </c>
      <c r="AA95" s="20" t="s">
        <v>38</v>
      </c>
      <c r="AB95" s="20" t="s">
        <v>38</v>
      </c>
      <c r="AC95" s="20" t="s">
        <v>38</v>
      </c>
      <c r="AD95" s="20" t="s">
        <v>38</v>
      </c>
      <c r="AE95" s="20" t="s">
        <v>38</v>
      </c>
      <c r="AF95" s="20" t="s">
        <v>38</v>
      </c>
      <c r="AG95" s="20" t="s">
        <v>38</v>
      </c>
      <c r="AH95" s="20" t="s">
        <v>38</v>
      </c>
      <c r="AI95" s="20" t="s">
        <v>38</v>
      </c>
      <c r="AJ95" s="20" t="s">
        <v>38</v>
      </c>
      <c r="AK95" s="20" t="s">
        <v>38</v>
      </c>
      <c r="AL95" s="20" t="s">
        <v>38</v>
      </c>
      <c r="AM95" s="20" t="s">
        <v>38</v>
      </c>
      <c r="AN95" s="20" t="s">
        <v>38</v>
      </c>
      <c r="AO95" s="20" t="s">
        <v>38</v>
      </c>
      <c r="AP95" s="20" t="s">
        <v>38</v>
      </c>
      <c r="AQ95" s="20" t="s">
        <v>38</v>
      </c>
      <c r="AR95" s="20" t="s">
        <v>38</v>
      </c>
      <c r="AS95" s="20" t="s">
        <v>38</v>
      </c>
      <c r="AT95" s="20" t="s">
        <v>38</v>
      </c>
      <c r="AU95" s="20" t="s">
        <v>38</v>
      </c>
      <c r="AV95" s="20" t="s">
        <v>38</v>
      </c>
      <c r="AW95" s="20" t="s">
        <v>38</v>
      </c>
      <c r="AX95" s="20" t="s">
        <v>38</v>
      </c>
      <c r="AY95" s="20" t="s">
        <v>38</v>
      </c>
      <c r="AZ95" s="20" t="s">
        <v>38</v>
      </c>
      <c r="BA95" s="20" t="s">
        <v>38</v>
      </c>
      <c r="BB95" s="20" t="s">
        <v>38</v>
      </c>
      <c r="BC95" s="20" t="s">
        <v>38</v>
      </c>
      <c r="BD95" s="20" t="s">
        <v>38</v>
      </c>
      <c r="BE95" s="20" t="s">
        <v>38</v>
      </c>
      <c r="BF95" s="20" t="s">
        <v>38</v>
      </c>
      <c r="BG95" s="20" t="s">
        <v>38</v>
      </c>
      <c r="BH95" s="20" t="s">
        <v>38</v>
      </c>
      <c r="BI95" s="20" t="s">
        <v>38</v>
      </c>
      <c r="BJ95" s="20" t="s">
        <v>38</v>
      </c>
      <c r="BK95" s="20" t="s">
        <v>38</v>
      </c>
      <c r="BL95" s="20" t="s">
        <v>38</v>
      </c>
      <c r="BM95" s="20" t="s">
        <v>38</v>
      </c>
      <c r="BN95" s="20" t="s">
        <v>38</v>
      </c>
      <c r="BO95" s="20" t="s">
        <v>38</v>
      </c>
      <c r="BP95" s="20" t="s">
        <v>38</v>
      </c>
      <c r="BQ95" s="20" t="s">
        <v>38</v>
      </c>
      <c r="BR95" s="20" t="s">
        <v>38</v>
      </c>
      <c r="BS95" s="20" t="s">
        <v>38</v>
      </c>
      <c r="BT95" s="20" t="s">
        <v>38</v>
      </c>
      <c r="BU95" s="20" t="s">
        <v>38</v>
      </c>
      <c r="BV95" s="20" t="s">
        <v>38</v>
      </c>
      <c r="BW95" s="20" t="s">
        <v>38</v>
      </c>
      <c r="BX95" s="20" t="s">
        <v>38</v>
      </c>
      <c r="BY95" s="61" t="s">
        <v>38</v>
      </c>
      <c r="BZ95" s="61" t="s">
        <v>38</v>
      </c>
      <c r="CA95" s="87" t="s">
        <v>38</v>
      </c>
    </row>
    <row r="96" spans="1:79">
      <c r="A96" s="29">
        <v>67</v>
      </c>
      <c r="B96" s="82">
        <v>254555.67023700001</v>
      </c>
      <c r="C96" s="82">
        <v>4505716.0668700002</v>
      </c>
      <c r="D96" s="17">
        <v>0</v>
      </c>
      <c r="E96" s="17">
        <v>0</v>
      </c>
      <c r="F96" s="17">
        <v>0</v>
      </c>
      <c r="G96" s="17">
        <v>0</v>
      </c>
      <c r="H96" s="17">
        <v>0</v>
      </c>
      <c r="I96" s="17">
        <v>0</v>
      </c>
      <c r="J96" s="17">
        <v>0</v>
      </c>
      <c r="K96" s="17">
        <v>0</v>
      </c>
      <c r="L96" s="17">
        <v>0</v>
      </c>
      <c r="M96" s="17">
        <v>0</v>
      </c>
      <c r="N96" s="20" t="s">
        <v>38</v>
      </c>
      <c r="O96" s="20" t="s">
        <v>38</v>
      </c>
      <c r="P96" s="20" t="s">
        <v>38</v>
      </c>
      <c r="Q96" s="20" t="s">
        <v>38</v>
      </c>
      <c r="R96" s="20" t="s">
        <v>38</v>
      </c>
      <c r="S96" s="20" t="s">
        <v>38</v>
      </c>
      <c r="T96" s="20" t="s">
        <v>38</v>
      </c>
      <c r="U96" s="20" t="s">
        <v>38</v>
      </c>
      <c r="V96" s="20" t="s">
        <v>38</v>
      </c>
      <c r="W96" s="20" t="s">
        <v>38</v>
      </c>
      <c r="X96" s="20" t="s">
        <v>38</v>
      </c>
      <c r="Y96" s="20" t="s">
        <v>38</v>
      </c>
      <c r="Z96" s="20" t="s">
        <v>38</v>
      </c>
      <c r="AA96" s="20" t="s">
        <v>38</v>
      </c>
      <c r="AB96" s="20" t="s">
        <v>38</v>
      </c>
      <c r="AC96" s="20" t="s">
        <v>38</v>
      </c>
      <c r="AD96" s="20" t="s">
        <v>38</v>
      </c>
      <c r="AE96" s="20" t="s">
        <v>38</v>
      </c>
      <c r="AF96" s="20" t="s">
        <v>38</v>
      </c>
      <c r="AG96" s="20" t="s">
        <v>38</v>
      </c>
      <c r="AH96" s="20" t="s">
        <v>38</v>
      </c>
      <c r="AI96" s="20" t="s">
        <v>38</v>
      </c>
      <c r="AJ96" s="20" t="s">
        <v>38</v>
      </c>
      <c r="AK96" s="20" t="s">
        <v>38</v>
      </c>
      <c r="AL96" s="20" t="s">
        <v>38</v>
      </c>
      <c r="AM96" s="20" t="s">
        <v>38</v>
      </c>
      <c r="AN96" s="20" t="s">
        <v>38</v>
      </c>
      <c r="AO96" s="20" t="s">
        <v>38</v>
      </c>
      <c r="AP96" s="20" t="s">
        <v>38</v>
      </c>
      <c r="AQ96" s="20" t="s">
        <v>38</v>
      </c>
      <c r="AR96" s="20" t="s">
        <v>38</v>
      </c>
      <c r="AS96" s="20" t="s">
        <v>38</v>
      </c>
      <c r="AT96" s="20" t="s">
        <v>38</v>
      </c>
      <c r="AU96" s="20" t="s">
        <v>38</v>
      </c>
      <c r="AV96" s="20" t="s">
        <v>38</v>
      </c>
      <c r="AW96" s="20" t="s">
        <v>38</v>
      </c>
      <c r="AX96" s="20" t="s">
        <v>38</v>
      </c>
      <c r="AY96" s="20" t="s">
        <v>38</v>
      </c>
      <c r="AZ96" s="20" t="s">
        <v>38</v>
      </c>
      <c r="BA96" s="20" t="s">
        <v>38</v>
      </c>
      <c r="BB96" s="20" t="s">
        <v>38</v>
      </c>
      <c r="BC96" s="20" t="s">
        <v>38</v>
      </c>
      <c r="BD96" s="20" t="s">
        <v>38</v>
      </c>
      <c r="BE96" s="20" t="s">
        <v>38</v>
      </c>
      <c r="BF96" s="20" t="s">
        <v>38</v>
      </c>
      <c r="BG96" s="20" t="s">
        <v>38</v>
      </c>
      <c r="BH96" s="20" t="s">
        <v>38</v>
      </c>
      <c r="BI96" s="20" t="s">
        <v>38</v>
      </c>
      <c r="BJ96" s="20" t="s">
        <v>38</v>
      </c>
      <c r="BK96" s="20" t="s">
        <v>38</v>
      </c>
      <c r="BL96" s="20" t="s">
        <v>38</v>
      </c>
      <c r="BM96" s="20" t="s">
        <v>38</v>
      </c>
      <c r="BN96" s="20" t="s">
        <v>38</v>
      </c>
      <c r="BO96" s="20" t="s">
        <v>38</v>
      </c>
      <c r="BP96" s="20" t="s">
        <v>38</v>
      </c>
      <c r="BQ96" s="20" t="s">
        <v>38</v>
      </c>
      <c r="BR96" s="20" t="s">
        <v>38</v>
      </c>
      <c r="BS96" s="20" t="s">
        <v>38</v>
      </c>
      <c r="BT96" s="20" t="s">
        <v>38</v>
      </c>
      <c r="BU96" s="20" t="s">
        <v>38</v>
      </c>
      <c r="BV96" s="20" t="s">
        <v>38</v>
      </c>
      <c r="BW96" s="20" t="s">
        <v>38</v>
      </c>
      <c r="BX96" s="20" t="s">
        <v>38</v>
      </c>
      <c r="BY96" s="85" t="s">
        <v>38</v>
      </c>
      <c r="BZ96" s="85" t="s">
        <v>38</v>
      </c>
      <c r="CA96" s="86" t="s">
        <v>38</v>
      </c>
    </row>
    <row r="97" spans="1:79">
      <c r="A97" s="29">
        <v>68</v>
      </c>
      <c r="B97" s="82">
        <v>254550.90865100001</v>
      </c>
      <c r="C97" s="82">
        <v>4505648.5313400002</v>
      </c>
      <c r="D97" s="17">
        <v>0</v>
      </c>
      <c r="E97" s="17">
        <v>0</v>
      </c>
      <c r="F97" s="17">
        <v>0</v>
      </c>
      <c r="G97" s="17">
        <v>0</v>
      </c>
      <c r="H97" s="17">
        <v>0</v>
      </c>
      <c r="I97" s="17">
        <v>0</v>
      </c>
      <c r="J97" s="17">
        <v>0</v>
      </c>
      <c r="K97" s="17">
        <v>0</v>
      </c>
      <c r="L97" s="17">
        <v>0</v>
      </c>
      <c r="M97" s="17">
        <v>0</v>
      </c>
      <c r="N97" s="20" t="s">
        <v>38</v>
      </c>
      <c r="O97" s="20" t="s">
        <v>38</v>
      </c>
      <c r="P97" s="20" t="s">
        <v>38</v>
      </c>
      <c r="Q97" s="20" t="s">
        <v>38</v>
      </c>
      <c r="R97" s="20" t="s">
        <v>38</v>
      </c>
      <c r="S97" s="20" t="s">
        <v>38</v>
      </c>
      <c r="T97" s="20" t="s">
        <v>38</v>
      </c>
      <c r="U97" s="20" t="s">
        <v>38</v>
      </c>
      <c r="V97" s="20" t="s">
        <v>38</v>
      </c>
      <c r="W97" s="20" t="s">
        <v>38</v>
      </c>
      <c r="X97" s="20" t="s">
        <v>38</v>
      </c>
      <c r="Y97" s="20" t="s">
        <v>38</v>
      </c>
      <c r="Z97" s="20" t="s">
        <v>38</v>
      </c>
      <c r="AA97" s="20" t="s">
        <v>38</v>
      </c>
      <c r="AB97" s="20" t="s">
        <v>38</v>
      </c>
      <c r="AC97" s="20" t="s">
        <v>38</v>
      </c>
      <c r="AD97" s="20" t="s">
        <v>38</v>
      </c>
      <c r="AE97" s="20" t="s">
        <v>38</v>
      </c>
      <c r="AF97" s="20" t="s">
        <v>38</v>
      </c>
      <c r="AG97" s="20" t="s">
        <v>38</v>
      </c>
      <c r="AH97" s="20" t="s">
        <v>38</v>
      </c>
      <c r="AI97" s="20" t="s">
        <v>38</v>
      </c>
      <c r="AJ97" s="20" t="s">
        <v>38</v>
      </c>
      <c r="AK97" s="20" t="s">
        <v>38</v>
      </c>
      <c r="AL97" s="20" t="s">
        <v>38</v>
      </c>
      <c r="AM97" s="20" t="s">
        <v>38</v>
      </c>
      <c r="AN97" s="20" t="s">
        <v>38</v>
      </c>
      <c r="AO97" s="20" t="s">
        <v>38</v>
      </c>
      <c r="AP97" s="20" t="s">
        <v>38</v>
      </c>
      <c r="AQ97" s="20" t="s">
        <v>38</v>
      </c>
      <c r="AR97" s="20" t="s">
        <v>38</v>
      </c>
      <c r="AS97" s="20" t="s">
        <v>38</v>
      </c>
      <c r="AT97" s="20" t="s">
        <v>38</v>
      </c>
      <c r="AU97" s="20" t="s">
        <v>38</v>
      </c>
      <c r="AV97" s="20" t="s">
        <v>38</v>
      </c>
      <c r="AW97" s="20" t="s">
        <v>38</v>
      </c>
      <c r="AX97" s="20" t="s">
        <v>38</v>
      </c>
      <c r="AY97" s="20" t="s">
        <v>38</v>
      </c>
      <c r="AZ97" s="20" t="s">
        <v>38</v>
      </c>
      <c r="BA97" s="20" t="s">
        <v>38</v>
      </c>
      <c r="BB97" s="20" t="s">
        <v>38</v>
      </c>
      <c r="BC97" s="20" t="s">
        <v>38</v>
      </c>
      <c r="BD97" s="20" t="s">
        <v>38</v>
      </c>
      <c r="BE97" s="20" t="s">
        <v>38</v>
      </c>
      <c r="BF97" s="20" t="s">
        <v>38</v>
      </c>
      <c r="BG97" s="20" t="s">
        <v>38</v>
      </c>
      <c r="BH97" s="20" t="s">
        <v>38</v>
      </c>
      <c r="BI97" s="20" t="s">
        <v>38</v>
      </c>
      <c r="BJ97" s="20" t="s">
        <v>38</v>
      </c>
      <c r="BK97" s="20" t="s">
        <v>38</v>
      </c>
      <c r="BL97" s="20" t="s">
        <v>38</v>
      </c>
      <c r="BM97" s="20" t="s">
        <v>38</v>
      </c>
      <c r="BN97" s="20" t="s">
        <v>38</v>
      </c>
      <c r="BO97" s="20" t="s">
        <v>38</v>
      </c>
      <c r="BP97" s="20" t="s">
        <v>38</v>
      </c>
      <c r="BQ97" s="20" t="s">
        <v>38</v>
      </c>
      <c r="BR97" s="20" t="s">
        <v>38</v>
      </c>
      <c r="BS97" s="20" t="s">
        <v>38</v>
      </c>
      <c r="BT97" s="20" t="s">
        <v>38</v>
      </c>
      <c r="BU97" s="20" t="s">
        <v>38</v>
      </c>
      <c r="BV97" s="20" t="s">
        <v>38</v>
      </c>
      <c r="BW97" s="20" t="s">
        <v>38</v>
      </c>
      <c r="BX97" s="20" t="s">
        <v>38</v>
      </c>
      <c r="BY97" s="85" t="s">
        <v>38</v>
      </c>
      <c r="BZ97" s="85" t="s">
        <v>38</v>
      </c>
      <c r="CA97" s="86" t="s">
        <v>38</v>
      </c>
    </row>
    <row r="98" spans="1:79">
      <c r="A98" s="29">
        <v>69</v>
      </c>
      <c r="B98" s="83">
        <v>254597.82972499999</v>
      </c>
      <c r="C98" s="83">
        <v>4505663.6450399999</v>
      </c>
      <c r="D98" s="20" t="s">
        <v>38</v>
      </c>
      <c r="E98" s="20" t="s">
        <v>38</v>
      </c>
      <c r="F98" s="20" t="s">
        <v>38</v>
      </c>
      <c r="G98" s="20" t="s">
        <v>38</v>
      </c>
      <c r="H98" s="20" t="s">
        <v>38</v>
      </c>
      <c r="I98" s="20" t="s">
        <v>38</v>
      </c>
      <c r="J98" s="20" t="s">
        <v>38</v>
      </c>
      <c r="K98" s="20" t="s">
        <v>38</v>
      </c>
      <c r="L98" s="20" t="s">
        <v>38</v>
      </c>
      <c r="M98" s="20" t="s">
        <v>38</v>
      </c>
      <c r="N98" s="20" t="s">
        <v>38</v>
      </c>
      <c r="O98" s="20" t="s">
        <v>38</v>
      </c>
      <c r="P98" s="20" t="s">
        <v>38</v>
      </c>
      <c r="Q98" s="20" t="s">
        <v>38</v>
      </c>
      <c r="R98" s="20" t="s">
        <v>38</v>
      </c>
      <c r="S98" s="20" t="s">
        <v>38</v>
      </c>
      <c r="T98" s="20" t="s">
        <v>38</v>
      </c>
      <c r="U98" s="20" t="s">
        <v>38</v>
      </c>
      <c r="V98" s="20" t="s">
        <v>38</v>
      </c>
      <c r="W98" s="20" t="s">
        <v>38</v>
      </c>
      <c r="X98" s="20" t="s">
        <v>38</v>
      </c>
      <c r="Y98" s="20" t="s">
        <v>38</v>
      </c>
      <c r="Z98" s="20" t="s">
        <v>38</v>
      </c>
      <c r="AA98" s="20" t="s">
        <v>38</v>
      </c>
      <c r="AB98" s="20" t="s">
        <v>38</v>
      </c>
      <c r="AC98" s="20" t="s">
        <v>38</v>
      </c>
      <c r="AD98" s="20" t="s">
        <v>38</v>
      </c>
      <c r="AE98" s="20" t="s">
        <v>38</v>
      </c>
      <c r="AF98" s="20" t="s">
        <v>38</v>
      </c>
      <c r="AG98" s="20" t="s">
        <v>38</v>
      </c>
      <c r="AH98" s="20" t="s">
        <v>38</v>
      </c>
      <c r="AI98" s="20" t="s">
        <v>38</v>
      </c>
      <c r="AJ98" s="20" t="s">
        <v>38</v>
      </c>
      <c r="AK98" s="20" t="s">
        <v>38</v>
      </c>
      <c r="AL98" s="20" t="s">
        <v>38</v>
      </c>
      <c r="AM98" s="20" t="s">
        <v>38</v>
      </c>
      <c r="AN98" s="20" t="s">
        <v>38</v>
      </c>
      <c r="AO98" s="20" t="s">
        <v>38</v>
      </c>
      <c r="AP98" s="20" t="s">
        <v>38</v>
      </c>
      <c r="AQ98" s="20" t="s">
        <v>38</v>
      </c>
      <c r="AR98" s="20" t="s">
        <v>38</v>
      </c>
      <c r="AS98" s="20" t="s">
        <v>38</v>
      </c>
      <c r="AT98" s="20" t="s">
        <v>38</v>
      </c>
      <c r="AU98" s="20" t="s">
        <v>38</v>
      </c>
      <c r="AV98" s="20" t="s">
        <v>38</v>
      </c>
      <c r="AW98" s="20" t="s">
        <v>38</v>
      </c>
      <c r="AX98" s="20" t="s">
        <v>38</v>
      </c>
      <c r="AY98" s="20" t="s">
        <v>38</v>
      </c>
      <c r="AZ98" s="20" t="s">
        <v>38</v>
      </c>
      <c r="BA98" s="20" t="s">
        <v>38</v>
      </c>
      <c r="BB98" s="20" t="s">
        <v>38</v>
      </c>
      <c r="BC98" s="20" t="s">
        <v>38</v>
      </c>
      <c r="BD98" s="20" t="s">
        <v>38</v>
      </c>
      <c r="BE98" s="20" t="s">
        <v>38</v>
      </c>
      <c r="BF98" s="20" t="s">
        <v>38</v>
      </c>
      <c r="BG98" s="20" t="s">
        <v>38</v>
      </c>
      <c r="BH98" s="20" t="s">
        <v>38</v>
      </c>
      <c r="BI98" s="20" t="s">
        <v>38</v>
      </c>
      <c r="BJ98" s="20" t="s">
        <v>38</v>
      </c>
      <c r="BK98" s="20" t="s">
        <v>38</v>
      </c>
      <c r="BL98" s="20" t="s">
        <v>38</v>
      </c>
      <c r="BM98" s="20" t="s">
        <v>38</v>
      </c>
      <c r="BN98" s="20" t="s">
        <v>38</v>
      </c>
      <c r="BO98" s="20" t="s">
        <v>38</v>
      </c>
      <c r="BP98" s="20" t="s">
        <v>38</v>
      </c>
      <c r="BQ98" s="20" t="s">
        <v>38</v>
      </c>
      <c r="BR98" s="20" t="s">
        <v>38</v>
      </c>
      <c r="BS98" s="20" t="s">
        <v>38</v>
      </c>
      <c r="BT98" s="20" t="s">
        <v>38</v>
      </c>
      <c r="BU98" s="20" t="s">
        <v>38</v>
      </c>
      <c r="BV98" s="20" t="s">
        <v>38</v>
      </c>
      <c r="BW98" s="20" t="s">
        <v>38</v>
      </c>
      <c r="BX98" s="20" t="s">
        <v>38</v>
      </c>
      <c r="BY98" s="61" t="s">
        <v>38</v>
      </c>
      <c r="BZ98" s="61" t="s">
        <v>38</v>
      </c>
      <c r="CA98" s="87" t="s">
        <v>38</v>
      </c>
    </row>
    <row r="99" spans="1:79">
      <c r="A99" s="29">
        <v>70</v>
      </c>
      <c r="B99" s="82">
        <v>254634.17014</v>
      </c>
      <c r="C99" s="82">
        <v>4505678.18004</v>
      </c>
      <c r="D99" s="20">
        <v>0.35699999999999998</v>
      </c>
      <c r="E99" s="20">
        <v>0.34100000000000003</v>
      </c>
      <c r="F99" s="20">
        <v>0.34799999999999998</v>
      </c>
      <c r="G99" s="20">
        <v>0.36549999999999999</v>
      </c>
      <c r="H99" s="20">
        <v>0.36199999999999999</v>
      </c>
      <c r="I99" s="20">
        <v>0.29899999999999999</v>
      </c>
      <c r="J99" s="20">
        <v>0.28599999999999998</v>
      </c>
      <c r="K99" s="20">
        <v>0.21</v>
      </c>
      <c r="L99" s="20">
        <v>0.23</v>
      </c>
      <c r="M99" s="20">
        <v>0.215</v>
      </c>
      <c r="N99" s="16">
        <v>0.22</v>
      </c>
      <c r="O99" s="16">
        <v>0.20050000000000001</v>
      </c>
      <c r="P99" s="16">
        <v>0.216</v>
      </c>
      <c r="Q99" s="16">
        <v>0.2225</v>
      </c>
      <c r="R99" s="16">
        <v>0.27300000000000002</v>
      </c>
      <c r="S99" s="16">
        <v>0.27450000000000002</v>
      </c>
      <c r="T99" s="16">
        <v>0.39600000000000002</v>
      </c>
      <c r="U99" s="16">
        <v>0.4</v>
      </c>
      <c r="V99" s="16">
        <v>0.41099999999999998</v>
      </c>
      <c r="W99" s="16">
        <v>0.44500000000000001</v>
      </c>
      <c r="X99" s="19">
        <v>0.41399999999999998</v>
      </c>
      <c r="Y99" s="7">
        <v>0.39700000000000002</v>
      </c>
      <c r="Z99" s="19">
        <v>0.41699999999999998</v>
      </c>
      <c r="AA99" s="19">
        <v>0.41299999999999998</v>
      </c>
      <c r="AB99" s="19">
        <v>0.40300000000000002</v>
      </c>
      <c r="AC99" s="7">
        <v>0.41099999999999998</v>
      </c>
      <c r="AD99" s="24">
        <v>0.42</v>
      </c>
      <c r="AE99" s="24">
        <v>0.40500000000000003</v>
      </c>
      <c r="AF99" s="24">
        <v>0.29199999999999998</v>
      </c>
      <c r="AG99" s="24">
        <v>0.3</v>
      </c>
      <c r="AH99" s="24">
        <v>0.251</v>
      </c>
      <c r="AI99" s="24">
        <v>0.27500000000000002</v>
      </c>
      <c r="AJ99" s="24">
        <v>0.24</v>
      </c>
      <c r="AK99" s="24">
        <v>0.24299999999999999</v>
      </c>
      <c r="AL99" s="24">
        <v>0.31</v>
      </c>
      <c r="AM99" s="24">
        <v>0.376</v>
      </c>
      <c r="AN99" s="51">
        <v>0.33600000000000002</v>
      </c>
      <c r="AO99" s="51">
        <v>0.255</v>
      </c>
      <c r="AP99" s="51">
        <v>0.30499999999999999</v>
      </c>
      <c r="AQ99" s="51">
        <v>0.33300000000000002</v>
      </c>
      <c r="AR99" s="51">
        <v>0.317</v>
      </c>
      <c r="AS99" s="51">
        <v>0.30499999999999999</v>
      </c>
      <c r="AT99" s="51">
        <v>0.29299999999999998</v>
      </c>
      <c r="AU99" s="51">
        <v>0.28399999999999997</v>
      </c>
      <c r="AV99" s="51">
        <v>0.25700000000000001</v>
      </c>
      <c r="AW99" s="51">
        <v>0.22800000000000001</v>
      </c>
      <c r="AX99" s="51">
        <v>0.223</v>
      </c>
      <c r="AY99" s="51">
        <v>0.223</v>
      </c>
      <c r="AZ99" s="51">
        <v>0.23100000000000001</v>
      </c>
      <c r="BA99" s="51">
        <v>0.23300000000000001</v>
      </c>
      <c r="BB99" s="52">
        <v>0.183</v>
      </c>
      <c r="BC99" s="51">
        <v>0.23050000000000001</v>
      </c>
      <c r="BD99" s="62">
        <v>0.27</v>
      </c>
      <c r="BE99" s="20" t="s">
        <v>38</v>
      </c>
      <c r="BF99" s="20" t="s">
        <v>38</v>
      </c>
      <c r="BG99" s="51">
        <v>0.34250000000000003</v>
      </c>
      <c r="BH99" s="38">
        <v>0.32400000000000001</v>
      </c>
      <c r="BI99" s="38">
        <v>0.35149999999999998</v>
      </c>
      <c r="BJ99" s="38">
        <v>0.38600000000000001</v>
      </c>
      <c r="BK99" s="38">
        <v>0.33100000000000002</v>
      </c>
      <c r="BL99" s="38">
        <v>0.32850000000000001</v>
      </c>
      <c r="BM99" s="38">
        <v>0.36199999999999999</v>
      </c>
      <c r="BN99" s="20" t="s">
        <v>38</v>
      </c>
      <c r="BO99" s="51">
        <v>0.35349999999999998</v>
      </c>
      <c r="BP99" s="38">
        <v>0.36299999999999999</v>
      </c>
      <c r="BQ99" s="38">
        <v>0.27300000000000002</v>
      </c>
      <c r="BR99" s="56">
        <v>0.27100000000000002</v>
      </c>
      <c r="BS99" s="61" t="s">
        <v>38</v>
      </c>
      <c r="BT99" s="56">
        <v>0.254</v>
      </c>
      <c r="BU99" s="42">
        <v>0.24149999999999999</v>
      </c>
      <c r="BV99" s="56">
        <v>0.24099999999999999</v>
      </c>
      <c r="BW99" s="42">
        <v>0.24249999999999999</v>
      </c>
      <c r="BX99" s="42">
        <v>0.252</v>
      </c>
      <c r="BY99" s="85">
        <f>(0.378+0.28)/2</f>
        <v>0.32900000000000001</v>
      </c>
      <c r="BZ99" s="85">
        <f>(0.339+0.347)/2</f>
        <v>0.34299999999999997</v>
      </c>
      <c r="CA99" s="87">
        <v>0.47949999999999998</v>
      </c>
    </row>
    <row r="100" spans="1:79">
      <c r="A100" s="29">
        <v>71</v>
      </c>
      <c r="B100" s="82">
        <v>254591.99662699999</v>
      </c>
      <c r="C100" s="82">
        <v>4505692.3642499996</v>
      </c>
      <c r="D100" s="20" t="s">
        <v>38</v>
      </c>
      <c r="E100" s="20" t="s">
        <v>38</v>
      </c>
      <c r="F100" s="20" t="s">
        <v>38</v>
      </c>
      <c r="G100" s="20" t="s">
        <v>38</v>
      </c>
      <c r="H100" s="20" t="s">
        <v>38</v>
      </c>
      <c r="I100" s="20" t="s">
        <v>38</v>
      </c>
      <c r="J100" s="20" t="s">
        <v>38</v>
      </c>
      <c r="K100" s="20" t="s">
        <v>38</v>
      </c>
      <c r="L100" s="20" t="s">
        <v>38</v>
      </c>
      <c r="M100" s="20" t="s">
        <v>38</v>
      </c>
      <c r="N100" s="20" t="s">
        <v>38</v>
      </c>
      <c r="O100" s="20" t="s">
        <v>38</v>
      </c>
      <c r="P100" s="20" t="s">
        <v>38</v>
      </c>
      <c r="Q100" s="20" t="s">
        <v>38</v>
      </c>
      <c r="R100" s="20" t="s">
        <v>38</v>
      </c>
      <c r="S100" s="20" t="s">
        <v>38</v>
      </c>
      <c r="T100" s="20" t="s">
        <v>38</v>
      </c>
      <c r="U100" s="20" t="s">
        <v>38</v>
      </c>
      <c r="V100" s="20" t="s">
        <v>38</v>
      </c>
      <c r="W100" s="20" t="s">
        <v>38</v>
      </c>
      <c r="X100" s="20" t="s">
        <v>38</v>
      </c>
      <c r="Y100" s="20" t="s">
        <v>38</v>
      </c>
      <c r="Z100" s="20" t="s">
        <v>38</v>
      </c>
      <c r="AA100" s="20" t="s">
        <v>38</v>
      </c>
      <c r="AB100" s="20" t="s">
        <v>38</v>
      </c>
      <c r="AC100" s="20" t="s">
        <v>38</v>
      </c>
      <c r="AD100" s="20" t="s">
        <v>38</v>
      </c>
      <c r="AE100" s="20" t="s">
        <v>38</v>
      </c>
      <c r="AF100" s="20" t="s">
        <v>38</v>
      </c>
      <c r="AG100" s="20" t="s">
        <v>38</v>
      </c>
      <c r="AH100" s="20" t="s">
        <v>38</v>
      </c>
      <c r="AI100" s="20" t="s">
        <v>38</v>
      </c>
      <c r="AJ100" s="20" t="s">
        <v>38</v>
      </c>
      <c r="AK100" s="20" t="s">
        <v>38</v>
      </c>
      <c r="AL100" s="20" t="s">
        <v>38</v>
      </c>
      <c r="AM100" s="20" t="s">
        <v>38</v>
      </c>
      <c r="AN100" s="20" t="s">
        <v>38</v>
      </c>
      <c r="AO100" s="20" t="s">
        <v>38</v>
      </c>
      <c r="AP100" s="20" t="s">
        <v>38</v>
      </c>
      <c r="AQ100" s="20" t="s">
        <v>38</v>
      </c>
      <c r="AR100" s="20" t="s">
        <v>38</v>
      </c>
      <c r="AS100" s="20" t="s">
        <v>38</v>
      </c>
      <c r="AT100" s="20" t="s">
        <v>38</v>
      </c>
      <c r="AU100" s="20" t="s">
        <v>38</v>
      </c>
      <c r="AV100" s="20" t="s">
        <v>38</v>
      </c>
      <c r="AW100" s="20" t="s">
        <v>38</v>
      </c>
      <c r="AX100" s="20" t="s">
        <v>38</v>
      </c>
      <c r="AY100" s="20" t="s">
        <v>38</v>
      </c>
      <c r="AZ100" s="20" t="s">
        <v>38</v>
      </c>
      <c r="BA100" s="20" t="s">
        <v>38</v>
      </c>
      <c r="BB100" s="20" t="s">
        <v>38</v>
      </c>
      <c r="BC100" s="20" t="s">
        <v>38</v>
      </c>
      <c r="BD100" s="20" t="s">
        <v>38</v>
      </c>
      <c r="BE100" s="20" t="s">
        <v>38</v>
      </c>
      <c r="BF100" s="20" t="s">
        <v>38</v>
      </c>
      <c r="BG100" s="20" t="s">
        <v>38</v>
      </c>
      <c r="BH100" s="20" t="s">
        <v>38</v>
      </c>
      <c r="BI100" s="20" t="s">
        <v>38</v>
      </c>
      <c r="BJ100" s="20" t="s">
        <v>38</v>
      </c>
      <c r="BK100" s="20" t="s">
        <v>38</v>
      </c>
      <c r="BL100" s="20" t="s">
        <v>38</v>
      </c>
      <c r="BM100" s="20" t="s">
        <v>38</v>
      </c>
      <c r="BN100" s="20" t="s">
        <v>38</v>
      </c>
      <c r="BO100" s="20" t="s">
        <v>38</v>
      </c>
      <c r="BP100" s="20" t="s">
        <v>38</v>
      </c>
      <c r="BQ100" s="20" t="s">
        <v>38</v>
      </c>
      <c r="BR100" s="20" t="s">
        <v>38</v>
      </c>
      <c r="BS100" s="20" t="s">
        <v>38</v>
      </c>
      <c r="BT100" s="20" t="s">
        <v>38</v>
      </c>
      <c r="BU100" s="20" t="s">
        <v>38</v>
      </c>
      <c r="BV100" s="20" t="s">
        <v>38</v>
      </c>
      <c r="BW100" s="20" t="s">
        <v>38</v>
      </c>
      <c r="BX100" s="20" t="s">
        <v>38</v>
      </c>
      <c r="BY100" s="61" t="s">
        <v>38</v>
      </c>
      <c r="BZ100" s="61" t="s">
        <v>38</v>
      </c>
      <c r="CA100" s="87" t="s">
        <v>38</v>
      </c>
    </row>
    <row r="101" spans="1:79">
      <c r="A101" s="29">
        <v>72</v>
      </c>
      <c r="B101" s="82">
        <v>254645.76749900001</v>
      </c>
      <c r="C101" s="82">
        <v>4505710.0379499998</v>
      </c>
      <c r="D101" s="20">
        <v>0.32500000000000001</v>
      </c>
      <c r="E101" s="20">
        <v>0.29649999999999999</v>
      </c>
      <c r="F101" s="20">
        <v>0.31850000000000001</v>
      </c>
      <c r="G101" s="20">
        <v>0.32</v>
      </c>
      <c r="H101" s="20">
        <v>0.3105</v>
      </c>
      <c r="I101" s="20">
        <v>0.2535</v>
      </c>
      <c r="J101" s="20">
        <v>0.22799999999999998</v>
      </c>
      <c r="K101" s="20">
        <v>0.1835</v>
      </c>
      <c r="L101" s="20">
        <v>0.19700000000000001</v>
      </c>
      <c r="M101" s="20">
        <v>0.16750000000000001</v>
      </c>
      <c r="N101" s="16">
        <v>0.16250000000000001</v>
      </c>
      <c r="O101" s="16">
        <v>0.17649999999999999</v>
      </c>
      <c r="P101" s="16">
        <v>0.189</v>
      </c>
      <c r="Q101" s="16">
        <v>0.19600000000000001</v>
      </c>
      <c r="R101" s="16">
        <v>0.214</v>
      </c>
      <c r="S101" s="16">
        <v>0.246</v>
      </c>
      <c r="T101" s="16">
        <v>0.33</v>
      </c>
      <c r="U101" s="16">
        <v>0.34100000000000003</v>
      </c>
      <c r="V101" s="16">
        <v>0.35399999999999998</v>
      </c>
      <c r="W101" s="16">
        <v>0.38800000000000001</v>
      </c>
      <c r="X101" s="19">
        <v>0.35099999999999998</v>
      </c>
      <c r="Y101" s="7">
        <v>0.34300000000000003</v>
      </c>
      <c r="Z101" s="19">
        <v>0.34899999999999998</v>
      </c>
      <c r="AA101" s="19">
        <v>0.32400000000000001</v>
      </c>
      <c r="AB101" s="19">
        <v>0.34499999999999997</v>
      </c>
      <c r="AC101" s="7">
        <v>0.34599999999999997</v>
      </c>
      <c r="AD101" s="24">
        <v>0.36399999999999999</v>
      </c>
      <c r="AE101" s="24">
        <v>0.28199999999999997</v>
      </c>
      <c r="AF101" s="24">
        <v>0.254</v>
      </c>
      <c r="AG101" s="24">
        <v>0.21</v>
      </c>
      <c r="AH101" s="24">
        <v>0.223</v>
      </c>
      <c r="AI101" s="24">
        <v>0.19900000000000001</v>
      </c>
      <c r="AJ101" s="24">
        <v>0.218</v>
      </c>
      <c r="AK101" s="24">
        <v>0.20499999999999999</v>
      </c>
      <c r="AL101" s="24">
        <v>0.23200000000000001</v>
      </c>
      <c r="AM101" s="24">
        <v>0.34200000000000003</v>
      </c>
      <c r="AN101" s="51">
        <v>0.28499999999999998</v>
      </c>
      <c r="AO101" s="51">
        <v>0.221</v>
      </c>
      <c r="AP101" s="51" t="s">
        <v>38</v>
      </c>
      <c r="AQ101" s="51">
        <v>0.26700000000000002</v>
      </c>
      <c r="AR101" s="51">
        <v>0.25700000000000001</v>
      </c>
      <c r="AS101" s="51">
        <v>0.26300000000000001</v>
      </c>
      <c r="AT101" s="51">
        <v>0.255</v>
      </c>
      <c r="AU101" s="51">
        <v>0.245</v>
      </c>
      <c r="AV101" s="51">
        <v>0.21299999999999999</v>
      </c>
      <c r="AW101" s="51">
        <v>0.19</v>
      </c>
      <c r="AX101" s="51">
        <v>0.19500000000000001</v>
      </c>
      <c r="AY101" s="51">
        <v>0.19700000000000001</v>
      </c>
      <c r="AZ101" s="51">
        <v>0.192</v>
      </c>
      <c r="BA101" s="51">
        <v>0.20899999999999999</v>
      </c>
      <c r="BB101" s="52">
        <v>0.16750000000000001</v>
      </c>
      <c r="BC101" s="51">
        <v>0.218</v>
      </c>
      <c r="BD101" s="62">
        <v>0.22699999999999998</v>
      </c>
      <c r="BE101" s="20" t="s">
        <v>38</v>
      </c>
      <c r="BF101" s="20" t="s">
        <v>38</v>
      </c>
      <c r="BG101" s="51">
        <v>0.29149999999999998</v>
      </c>
      <c r="BH101" s="38">
        <v>0.28999999999999998</v>
      </c>
      <c r="BI101" s="38">
        <v>0.309</v>
      </c>
      <c r="BJ101" s="38">
        <v>0.3085</v>
      </c>
      <c r="BK101" s="38">
        <v>0.30549999999999999</v>
      </c>
      <c r="BL101" s="38">
        <v>0.29149999999999998</v>
      </c>
      <c r="BM101" s="38">
        <v>0.314</v>
      </c>
      <c r="BN101" s="20" t="s">
        <v>38</v>
      </c>
      <c r="BO101" s="51">
        <v>0.29949999999999999</v>
      </c>
      <c r="BP101" s="38">
        <v>0.27300000000000002</v>
      </c>
      <c r="BQ101" s="38">
        <v>0.22699999999999998</v>
      </c>
      <c r="BR101" s="56">
        <v>0.23499999999999999</v>
      </c>
      <c r="BS101" s="56" t="s">
        <v>38</v>
      </c>
      <c r="BT101" s="56">
        <v>0.22800000000000001</v>
      </c>
      <c r="BU101" s="42">
        <v>0.20849999999999999</v>
      </c>
      <c r="BV101" s="56">
        <v>0.20700000000000002</v>
      </c>
      <c r="BW101" s="42">
        <v>0.20700000000000002</v>
      </c>
      <c r="BX101" s="42" t="s">
        <v>38</v>
      </c>
      <c r="BY101" s="85">
        <f>(0.35+0.344)/2</f>
        <v>0.34699999999999998</v>
      </c>
      <c r="BZ101" s="85">
        <f>(0.33+0.32)/2</f>
        <v>0.32500000000000001</v>
      </c>
      <c r="CA101" s="87">
        <v>0.436</v>
      </c>
    </row>
    <row r="102" spans="1:79">
      <c r="A102" s="29">
        <v>73</v>
      </c>
      <c r="B102" s="82">
        <v>254636.46085900001</v>
      </c>
      <c r="C102" s="82">
        <v>4505694.7106600003</v>
      </c>
      <c r="D102" s="20" t="s">
        <v>38</v>
      </c>
      <c r="E102" s="20">
        <v>0.28599999999999998</v>
      </c>
      <c r="F102" s="20">
        <v>0.29049999999999998</v>
      </c>
      <c r="G102" s="20">
        <v>0.30249999999999999</v>
      </c>
      <c r="H102" s="20">
        <v>0.28499999999999998</v>
      </c>
      <c r="I102" s="20">
        <v>0.23699999999999999</v>
      </c>
      <c r="J102" s="20">
        <v>0.22700000000000001</v>
      </c>
      <c r="K102" s="20">
        <v>0.185</v>
      </c>
      <c r="L102" s="20">
        <v>0.191</v>
      </c>
      <c r="M102" s="20">
        <v>0.16800000000000001</v>
      </c>
      <c r="N102" s="16">
        <v>0.19750000000000001</v>
      </c>
      <c r="O102" s="16">
        <v>0.1835</v>
      </c>
      <c r="P102" s="16">
        <v>0.17649999999999999</v>
      </c>
      <c r="Q102" s="16">
        <v>0.215</v>
      </c>
      <c r="R102" s="16">
        <v>0.23449999999999999</v>
      </c>
      <c r="S102" s="16">
        <v>0.23200000000000001</v>
      </c>
      <c r="T102" s="16">
        <v>0.32100000000000001</v>
      </c>
      <c r="U102" s="16">
        <v>0.32200000000000001</v>
      </c>
      <c r="V102" s="16">
        <v>0.34699999999999998</v>
      </c>
      <c r="W102" s="16">
        <v>0.35099999999999998</v>
      </c>
      <c r="X102" s="19">
        <v>0.32700000000000001</v>
      </c>
      <c r="Y102" s="7">
        <v>0.33600000000000002</v>
      </c>
      <c r="Z102" s="19">
        <v>0.35399999999999998</v>
      </c>
      <c r="AA102" s="19">
        <v>0.34899999999999998</v>
      </c>
      <c r="AB102" s="19">
        <v>0.35599999999999998</v>
      </c>
      <c r="AC102" s="7">
        <v>0.33900000000000002</v>
      </c>
      <c r="AD102" s="24">
        <v>0.35799999999999998</v>
      </c>
      <c r="AE102" s="24">
        <v>0.28999999999999998</v>
      </c>
      <c r="AF102" s="24">
        <v>0.23300000000000001</v>
      </c>
      <c r="AG102" s="24">
        <v>0.218</v>
      </c>
      <c r="AH102" s="24">
        <v>0.21</v>
      </c>
      <c r="AI102" s="24">
        <v>0.154</v>
      </c>
      <c r="AJ102" s="24">
        <v>0.16800000000000001</v>
      </c>
      <c r="AK102" s="24">
        <v>0.20499999999999999</v>
      </c>
      <c r="AL102" s="24">
        <v>0.216</v>
      </c>
      <c r="AM102" s="24">
        <v>0.39400000000000002</v>
      </c>
      <c r="AN102" s="51">
        <v>0.29399999999999998</v>
      </c>
      <c r="AO102" s="51">
        <v>0.22800000000000001</v>
      </c>
      <c r="AP102" s="51">
        <v>0.26100000000000001</v>
      </c>
      <c r="AQ102" s="51">
        <v>0.26700000000000002</v>
      </c>
      <c r="AR102" s="51">
        <v>0.25600000000000001</v>
      </c>
      <c r="AS102" s="51">
        <v>0.23799999999999999</v>
      </c>
      <c r="AT102" s="51">
        <v>0.27200000000000002</v>
      </c>
      <c r="AU102" s="51">
        <v>0.214</v>
      </c>
      <c r="AV102" s="51">
        <v>0.21099999999999999</v>
      </c>
      <c r="AW102" s="51">
        <v>0.184</v>
      </c>
      <c r="AX102" s="51">
        <v>0.17799999999999999</v>
      </c>
      <c r="AY102" s="51">
        <v>0.189</v>
      </c>
      <c r="AZ102" s="51">
        <v>0.19</v>
      </c>
      <c r="BA102" s="51">
        <v>0.19500000000000001</v>
      </c>
      <c r="BB102" s="52">
        <v>0.152</v>
      </c>
      <c r="BC102" s="51">
        <v>0.20200000000000001</v>
      </c>
      <c r="BD102" s="62">
        <v>0.20550000000000002</v>
      </c>
      <c r="BE102" s="20" t="s">
        <v>38</v>
      </c>
      <c r="BF102" s="20" t="s">
        <v>38</v>
      </c>
      <c r="BG102" s="51">
        <v>0.307</v>
      </c>
      <c r="BH102" s="38">
        <v>0.27350000000000002</v>
      </c>
      <c r="BI102" s="38">
        <v>0.29649999999999999</v>
      </c>
      <c r="BJ102" s="38">
        <v>0.3115</v>
      </c>
      <c r="BK102" s="38">
        <v>0.28000000000000003</v>
      </c>
      <c r="BL102" s="38">
        <v>0.28149999999999997</v>
      </c>
      <c r="BM102" s="38">
        <v>0.30399999999999999</v>
      </c>
      <c r="BN102" s="20" t="s">
        <v>38</v>
      </c>
      <c r="BO102" s="51">
        <v>0.29549999999999998</v>
      </c>
      <c r="BP102" s="38">
        <v>0.28449999999999998</v>
      </c>
      <c r="BQ102" s="38">
        <v>0.21199999999999999</v>
      </c>
      <c r="BR102" s="56">
        <v>0.20899999999999999</v>
      </c>
      <c r="BS102" s="56" t="s">
        <v>38</v>
      </c>
      <c r="BT102" s="56">
        <v>0.2</v>
      </c>
      <c r="BU102" s="42">
        <v>0.192</v>
      </c>
      <c r="BV102" s="56">
        <v>0.185</v>
      </c>
      <c r="BW102" s="42">
        <v>0.20649999999999999</v>
      </c>
      <c r="BX102" s="42">
        <v>0.21299999999999999</v>
      </c>
      <c r="BY102" s="85">
        <f>(0.279+0.303)/2</f>
        <v>0.29100000000000004</v>
      </c>
      <c r="BZ102" s="85">
        <f>(0.311+0.301)/2</f>
        <v>0.30599999999999999</v>
      </c>
      <c r="CA102" s="87">
        <v>0.43099999999999999</v>
      </c>
    </row>
    <row r="103" spans="1:79">
      <c r="A103" s="21">
        <v>74</v>
      </c>
      <c r="B103" s="82">
        <v>254459.02979100001</v>
      </c>
      <c r="C103" s="82">
        <v>4505693.6283600004</v>
      </c>
      <c r="D103" s="20" t="s">
        <v>38</v>
      </c>
      <c r="E103" s="20" t="s">
        <v>38</v>
      </c>
      <c r="F103" s="20" t="s">
        <v>38</v>
      </c>
      <c r="G103" s="20" t="s">
        <v>38</v>
      </c>
      <c r="H103" s="20" t="s">
        <v>38</v>
      </c>
      <c r="I103" s="20" t="s">
        <v>38</v>
      </c>
      <c r="J103" s="20" t="s">
        <v>38</v>
      </c>
      <c r="K103" s="20" t="s">
        <v>38</v>
      </c>
      <c r="L103" s="20" t="s">
        <v>38</v>
      </c>
      <c r="M103" s="20" t="s">
        <v>38</v>
      </c>
      <c r="N103" s="20" t="s">
        <v>38</v>
      </c>
      <c r="O103" s="20" t="s">
        <v>38</v>
      </c>
      <c r="P103" s="20" t="s">
        <v>38</v>
      </c>
      <c r="Q103" s="20" t="s">
        <v>38</v>
      </c>
      <c r="R103" s="20" t="s">
        <v>38</v>
      </c>
      <c r="S103" s="20" t="s">
        <v>38</v>
      </c>
      <c r="T103" s="20" t="s">
        <v>38</v>
      </c>
      <c r="U103" s="20" t="s">
        <v>38</v>
      </c>
      <c r="V103" s="20" t="s">
        <v>38</v>
      </c>
      <c r="W103" s="20" t="s">
        <v>38</v>
      </c>
      <c r="X103" s="20" t="s">
        <v>38</v>
      </c>
      <c r="Y103" s="20" t="s">
        <v>38</v>
      </c>
      <c r="Z103" s="20" t="s">
        <v>38</v>
      </c>
      <c r="AA103" s="20" t="s">
        <v>38</v>
      </c>
      <c r="AB103" s="20" t="s">
        <v>38</v>
      </c>
      <c r="AC103" s="20" t="s">
        <v>38</v>
      </c>
      <c r="AD103" s="20" t="s">
        <v>38</v>
      </c>
      <c r="AE103" s="20" t="s">
        <v>38</v>
      </c>
      <c r="AF103" s="20" t="s">
        <v>38</v>
      </c>
      <c r="AG103" s="20" t="s">
        <v>38</v>
      </c>
      <c r="AH103" s="20" t="s">
        <v>38</v>
      </c>
      <c r="AI103" s="20" t="s">
        <v>38</v>
      </c>
      <c r="AJ103" s="20" t="s">
        <v>38</v>
      </c>
      <c r="AK103" s="20" t="s">
        <v>38</v>
      </c>
      <c r="AL103" s="20" t="s">
        <v>38</v>
      </c>
      <c r="AM103" s="20" t="s">
        <v>38</v>
      </c>
      <c r="AN103" s="20" t="s">
        <v>38</v>
      </c>
      <c r="AO103" s="20" t="s">
        <v>38</v>
      </c>
      <c r="AP103" s="20" t="s">
        <v>38</v>
      </c>
      <c r="AQ103" s="20" t="s">
        <v>38</v>
      </c>
      <c r="AR103" s="20" t="s">
        <v>38</v>
      </c>
      <c r="AS103" s="20" t="s">
        <v>38</v>
      </c>
      <c r="AT103" s="20" t="s">
        <v>38</v>
      </c>
      <c r="AU103" s="20" t="s">
        <v>38</v>
      </c>
      <c r="AV103" s="20" t="s">
        <v>38</v>
      </c>
      <c r="AW103" s="20" t="s">
        <v>38</v>
      </c>
      <c r="AX103" s="20" t="s">
        <v>38</v>
      </c>
      <c r="AY103" s="20" t="s">
        <v>38</v>
      </c>
      <c r="AZ103" s="20" t="s">
        <v>38</v>
      </c>
      <c r="BA103" s="20" t="s">
        <v>38</v>
      </c>
      <c r="BB103" s="20" t="s">
        <v>38</v>
      </c>
      <c r="BC103" s="20" t="s">
        <v>38</v>
      </c>
      <c r="BD103" s="20" t="s">
        <v>38</v>
      </c>
      <c r="BE103" s="20" t="s">
        <v>38</v>
      </c>
      <c r="BF103" s="20" t="s">
        <v>38</v>
      </c>
      <c r="BG103" s="20" t="s">
        <v>38</v>
      </c>
      <c r="BH103" s="20" t="s">
        <v>38</v>
      </c>
      <c r="BI103" s="20" t="s">
        <v>38</v>
      </c>
      <c r="BJ103" s="20" t="s">
        <v>38</v>
      </c>
      <c r="BK103" s="20" t="s">
        <v>38</v>
      </c>
      <c r="BL103" s="20" t="s">
        <v>38</v>
      </c>
      <c r="BM103" s="20" t="s">
        <v>38</v>
      </c>
      <c r="BN103" s="20" t="s">
        <v>38</v>
      </c>
      <c r="BO103" s="20" t="s">
        <v>38</v>
      </c>
      <c r="BP103" s="20" t="s">
        <v>38</v>
      </c>
      <c r="BQ103" s="20" t="s">
        <v>38</v>
      </c>
      <c r="BR103" s="20" t="s">
        <v>38</v>
      </c>
      <c r="BS103" s="20" t="s">
        <v>38</v>
      </c>
      <c r="BT103" s="20" t="s">
        <v>38</v>
      </c>
      <c r="BU103" s="20" t="s">
        <v>38</v>
      </c>
      <c r="BV103" s="20" t="s">
        <v>38</v>
      </c>
      <c r="BW103" s="20" t="s">
        <v>38</v>
      </c>
      <c r="BX103" s="20" t="s">
        <v>38</v>
      </c>
      <c r="BY103" s="85" t="s">
        <v>38</v>
      </c>
      <c r="BZ103" s="85" t="s">
        <v>38</v>
      </c>
      <c r="CA103" s="87" t="s">
        <v>38</v>
      </c>
    </row>
    <row r="104" spans="1:79">
      <c r="A104" s="21" t="s">
        <v>35</v>
      </c>
      <c r="B104" s="82">
        <v>254460.35351799999</v>
      </c>
      <c r="C104" s="82">
        <v>4505694.28632</v>
      </c>
      <c r="D104" s="20" t="s">
        <v>38</v>
      </c>
      <c r="E104" s="20" t="s">
        <v>38</v>
      </c>
      <c r="F104" s="20" t="s">
        <v>38</v>
      </c>
      <c r="G104" s="20" t="s">
        <v>38</v>
      </c>
      <c r="H104" s="20" t="s">
        <v>38</v>
      </c>
      <c r="I104" s="20" t="s">
        <v>38</v>
      </c>
      <c r="J104" s="20" t="s">
        <v>38</v>
      </c>
      <c r="K104" s="20" t="s">
        <v>38</v>
      </c>
      <c r="L104" s="20" t="s">
        <v>38</v>
      </c>
      <c r="M104" s="20" t="s">
        <v>38</v>
      </c>
      <c r="N104" s="20" t="s">
        <v>38</v>
      </c>
      <c r="O104" s="20" t="s">
        <v>38</v>
      </c>
      <c r="P104" s="20" t="s">
        <v>38</v>
      </c>
      <c r="Q104" s="20" t="s">
        <v>38</v>
      </c>
      <c r="R104" s="20" t="s">
        <v>38</v>
      </c>
      <c r="S104" s="20" t="s">
        <v>38</v>
      </c>
      <c r="T104" s="20" t="s">
        <v>38</v>
      </c>
      <c r="U104" s="20" t="s">
        <v>38</v>
      </c>
      <c r="V104" s="20" t="s">
        <v>38</v>
      </c>
      <c r="W104" s="20" t="s">
        <v>38</v>
      </c>
      <c r="X104" s="20" t="s">
        <v>38</v>
      </c>
      <c r="Y104" s="20" t="s">
        <v>38</v>
      </c>
      <c r="Z104" s="20" t="s">
        <v>38</v>
      </c>
      <c r="AA104" s="20" t="s">
        <v>38</v>
      </c>
      <c r="AB104" s="20" t="s">
        <v>38</v>
      </c>
      <c r="AC104" s="20" t="s">
        <v>38</v>
      </c>
      <c r="AD104" s="20" t="s">
        <v>38</v>
      </c>
      <c r="AE104" s="20" t="s">
        <v>38</v>
      </c>
      <c r="AF104" s="20" t="s">
        <v>38</v>
      </c>
      <c r="AG104" s="20" t="s">
        <v>38</v>
      </c>
      <c r="AH104" s="20" t="s">
        <v>38</v>
      </c>
      <c r="AI104" s="20" t="s">
        <v>38</v>
      </c>
      <c r="AJ104" s="20" t="s">
        <v>38</v>
      </c>
      <c r="AK104" s="20" t="s">
        <v>38</v>
      </c>
      <c r="AL104" s="20" t="s">
        <v>38</v>
      </c>
      <c r="AM104" s="20" t="s">
        <v>38</v>
      </c>
      <c r="AN104" s="20" t="s">
        <v>38</v>
      </c>
      <c r="AO104" s="20" t="s">
        <v>38</v>
      </c>
      <c r="AP104" s="20" t="s">
        <v>38</v>
      </c>
      <c r="AQ104" s="20" t="s">
        <v>38</v>
      </c>
      <c r="AR104" s="20" t="s">
        <v>38</v>
      </c>
      <c r="AS104" s="20" t="s">
        <v>38</v>
      </c>
      <c r="AT104" s="20" t="s">
        <v>38</v>
      </c>
      <c r="AU104" s="20" t="s">
        <v>38</v>
      </c>
      <c r="AV104" s="20" t="s">
        <v>38</v>
      </c>
      <c r="AW104" s="20" t="s">
        <v>38</v>
      </c>
      <c r="AX104" s="20" t="s">
        <v>38</v>
      </c>
      <c r="AY104" s="20" t="s">
        <v>38</v>
      </c>
      <c r="AZ104" s="20" t="s">
        <v>38</v>
      </c>
      <c r="BA104" s="20" t="s">
        <v>38</v>
      </c>
      <c r="BB104" s="20" t="s">
        <v>38</v>
      </c>
      <c r="BC104" s="20" t="s">
        <v>38</v>
      </c>
      <c r="BD104" s="20" t="s">
        <v>38</v>
      </c>
      <c r="BE104" s="20" t="s">
        <v>38</v>
      </c>
      <c r="BF104" s="20" t="s">
        <v>38</v>
      </c>
      <c r="BG104" s="20" t="s">
        <v>38</v>
      </c>
      <c r="BH104" s="20" t="s">
        <v>38</v>
      </c>
      <c r="BI104" s="20" t="s">
        <v>38</v>
      </c>
      <c r="BJ104" s="20" t="s">
        <v>38</v>
      </c>
      <c r="BK104" s="20" t="s">
        <v>38</v>
      </c>
      <c r="BL104" s="20" t="s">
        <v>38</v>
      </c>
      <c r="BM104" s="20" t="s">
        <v>38</v>
      </c>
      <c r="BN104" s="20" t="s">
        <v>38</v>
      </c>
      <c r="BO104" s="20" t="s">
        <v>38</v>
      </c>
      <c r="BP104" s="20" t="s">
        <v>38</v>
      </c>
      <c r="BQ104" s="20" t="s">
        <v>38</v>
      </c>
      <c r="BR104" s="20" t="s">
        <v>38</v>
      </c>
      <c r="BS104" s="20" t="s">
        <v>38</v>
      </c>
      <c r="BT104" s="20" t="s">
        <v>38</v>
      </c>
      <c r="BU104" s="20" t="s">
        <v>38</v>
      </c>
      <c r="BV104" s="20" t="s">
        <v>38</v>
      </c>
      <c r="BW104" s="20" t="s">
        <v>38</v>
      </c>
      <c r="BX104" s="20" t="s">
        <v>38</v>
      </c>
      <c r="BY104" s="85" t="s">
        <v>38</v>
      </c>
      <c r="BZ104" s="85" t="s">
        <v>38</v>
      </c>
      <c r="CA104" s="87" t="s">
        <v>38</v>
      </c>
    </row>
    <row r="105" spans="1:79">
      <c r="A105" s="21" t="s">
        <v>34</v>
      </c>
      <c r="B105" s="82">
        <v>254459.39995799999</v>
      </c>
      <c r="C105" s="82">
        <v>4505693.0609900001</v>
      </c>
      <c r="D105" s="20" t="s">
        <v>38</v>
      </c>
      <c r="E105" s="20" t="s">
        <v>38</v>
      </c>
      <c r="F105" s="20" t="s">
        <v>38</v>
      </c>
      <c r="G105" s="20" t="s">
        <v>38</v>
      </c>
      <c r="H105" s="20" t="s">
        <v>38</v>
      </c>
      <c r="I105" s="20" t="s">
        <v>38</v>
      </c>
      <c r="J105" s="20" t="s">
        <v>38</v>
      </c>
      <c r="K105" s="20" t="s">
        <v>38</v>
      </c>
      <c r="L105" s="20" t="s">
        <v>38</v>
      </c>
      <c r="M105" s="20" t="s">
        <v>38</v>
      </c>
      <c r="N105" s="20" t="s">
        <v>38</v>
      </c>
      <c r="O105" s="20" t="s">
        <v>38</v>
      </c>
      <c r="P105" s="20" t="s">
        <v>38</v>
      </c>
      <c r="Q105" s="20" t="s">
        <v>38</v>
      </c>
      <c r="R105" s="20" t="s">
        <v>38</v>
      </c>
      <c r="S105" s="20" t="s">
        <v>38</v>
      </c>
      <c r="T105" s="20" t="s">
        <v>38</v>
      </c>
      <c r="U105" s="20" t="s">
        <v>38</v>
      </c>
      <c r="V105" s="20" t="s">
        <v>38</v>
      </c>
      <c r="W105" s="20" t="s">
        <v>38</v>
      </c>
      <c r="X105" s="20" t="s">
        <v>38</v>
      </c>
      <c r="Y105" s="20" t="s">
        <v>38</v>
      </c>
      <c r="Z105" s="20" t="s">
        <v>38</v>
      </c>
      <c r="AA105" s="20" t="s">
        <v>38</v>
      </c>
      <c r="AB105" s="20" t="s">
        <v>38</v>
      </c>
      <c r="AC105" s="20" t="s">
        <v>38</v>
      </c>
      <c r="AD105" s="20" t="s">
        <v>38</v>
      </c>
      <c r="AE105" s="20" t="s">
        <v>38</v>
      </c>
      <c r="AF105" s="20" t="s">
        <v>38</v>
      </c>
      <c r="AG105" s="20" t="s">
        <v>38</v>
      </c>
      <c r="AH105" s="20" t="s">
        <v>38</v>
      </c>
      <c r="AI105" s="20" t="s">
        <v>38</v>
      </c>
      <c r="AJ105" s="20" t="s">
        <v>38</v>
      </c>
      <c r="AK105" s="20" t="s">
        <v>38</v>
      </c>
      <c r="AL105" s="20" t="s">
        <v>38</v>
      </c>
      <c r="AM105" s="20" t="s">
        <v>38</v>
      </c>
      <c r="AN105" s="20" t="s">
        <v>38</v>
      </c>
      <c r="AO105" s="20" t="s">
        <v>38</v>
      </c>
      <c r="AP105" s="20" t="s">
        <v>38</v>
      </c>
      <c r="AQ105" s="20" t="s">
        <v>38</v>
      </c>
      <c r="AR105" s="20" t="s">
        <v>38</v>
      </c>
      <c r="AS105" s="20" t="s">
        <v>38</v>
      </c>
      <c r="AT105" s="20" t="s">
        <v>38</v>
      </c>
      <c r="AU105" s="20" t="s">
        <v>38</v>
      </c>
      <c r="AV105" s="20" t="s">
        <v>38</v>
      </c>
      <c r="AW105" s="20" t="s">
        <v>38</v>
      </c>
      <c r="AX105" s="20" t="s">
        <v>38</v>
      </c>
      <c r="AY105" s="20" t="s">
        <v>38</v>
      </c>
      <c r="AZ105" s="20" t="s">
        <v>38</v>
      </c>
      <c r="BA105" s="20" t="s">
        <v>38</v>
      </c>
      <c r="BB105" s="20" t="s">
        <v>38</v>
      </c>
      <c r="BC105" s="20" t="s">
        <v>38</v>
      </c>
      <c r="BD105" s="20" t="s">
        <v>38</v>
      </c>
      <c r="BE105" s="20" t="s">
        <v>38</v>
      </c>
      <c r="BF105" s="20" t="s">
        <v>38</v>
      </c>
      <c r="BG105" s="20" t="s">
        <v>38</v>
      </c>
      <c r="BH105" s="20" t="s">
        <v>38</v>
      </c>
      <c r="BI105" s="20" t="s">
        <v>38</v>
      </c>
      <c r="BJ105" s="20" t="s">
        <v>38</v>
      </c>
      <c r="BK105" s="20" t="s">
        <v>38</v>
      </c>
      <c r="BL105" s="20" t="s">
        <v>38</v>
      </c>
      <c r="BM105" s="20" t="s">
        <v>38</v>
      </c>
      <c r="BN105" s="20" t="s">
        <v>38</v>
      </c>
      <c r="BO105" s="20" t="s">
        <v>38</v>
      </c>
      <c r="BP105" s="20" t="s">
        <v>38</v>
      </c>
      <c r="BQ105" s="20" t="s">
        <v>38</v>
      </c>
      <c r="BR105" s="20" t="s">
        <v>38</v>
      </c>
      <c r="BS105" s="20" t="s">
        <v>38</v>
      </c>
      <c r="BT105" s="20" t="s">
        <v>38</v>
      </c>
      <c r="BU105" s="20" t="s">
        <v>38</v>
      </c>
      <c r="BV105" s="20" t="s">
        <v>38</v>
      </c>
      <c r="BW105" s="20" t="s">
        <v>38</v>
      </c>
      <c r="BX105" s="20" t="s">
        <v>38</v>
      </c>
      <c r="BY105" s="85" t="s">
        <v>38</v>
      </c>
      <c r="BZ105" s="85" t="s">
        <v>38</v>
      </c>
      <c r="CA105" s="87" t="s">
        <v>38</v>
      </c>
    </row>
    <row r="106" spans="1:79">
      <c r="A106" s="21" t="s">
        <v>36</v>
      </c>
      <c r="B106" s="82">
        <v>254457.54797300001</v>
      </c>
      <c r="C106" s="82">
        <v>4505693.1189799998</v>
      </c>
      <c r="D106" s="20" t="s">
        <v>38</v>
      </c>
      <c r="E106" s="20" t="s">
        <v>38</v>
      </c>
      <c r="F106" s="20" t="s">
        <v>38</v>
      </c>
      <c r="G106" s="20" t="s">
        <v>38</v>
      </c>
      <c r="H106" s="20" t="s">
        <v>38</v>
      </c>
      <c r="I106" s="20" t="s">
        <v>38</v>
      </c>
      <c r="J106" s="20" t="s">
        <v>38</v>
      </c>
      <c r="K106" s="20" t="s">
        <v>38</v>
      </c>
      <c r="L106" s="20" t="s">
        <v>38</v>
      </c>
      <c r="M106" s="20" t="s">
        <v>38</v>
      </c>
      <c r="N106" s="20" t="s">
        <v>38</v>
      </c>
      <c r="O106" s="20" t="s">
        <v>38</v>
      </c>
      <c r="P106" s="20" t="s">
        <v>38</v>
      </c>
      <c r="Q106" s="20" t="s">
        <v>38</v>
      </c>
      <c r="R106" s="20" t="s">
        <v>38</v>
      </c>
      <c r="S106" s="20" t="s">
        <v>38</v>
      </c>
      <c r="T106" s="20" t="s">
        <v>38</v>
      </c>
      <c r="U106" s="20" t="s">
        <v>38</v>
      </c>
      <c r="V106" s="20" t="s">
        <v>38</v>
      </c>
      <c r="W106" s="20" t="s">
        <v>38</v>
      </c>
      <c r="X106" s="20" t="s">
        <v>38</v>
      </c>
      <c r="Y106" s="20" t="s">
        <v>38</v>
      </c>
      <c r="Z106" s="20" t="s">
        <v>38</v>
      </c>
      <c r="AA106" s="20" t="s">
        <v>38</v>
      </c>
      <c r="AB106" s="20" t="s">
        <v>38</v>
      </c>
      <c r="AC106" s="20" t="s">
        <v>38</v>
      </c>
      <c r="AD106" s="20" t="s">
        <v>38</v>
      </c>
      <c r="AE106" s="20" t="s">
        <v>38</v>
      </c>
      <c r="AF106" s="20" t="s">
        <v>38</v>
      </c>
      <c r="AG106" s="20" t="s">
        <v>38</v>
      </c>
      <c r="AH106" s="20" t="s">
        <v>38</v>
      </c>
      <c r="AI106" s="20" t="s">
        <v>38</v>
      </c>
      <c r="AJ106" s="20" t="s">
        <v>38</v>
      </c>
      <c r="AK106" s="20" t="s">
        <v>38</v>
      </c>
      <c r="AL106" s="20" t="s">
        <v>38</v>
      </c>
      <c r="AM106" s="20" t="s">
        <v>38</v>
      </c>
      <c r="AN106" s="20" t="s">
        <v>38</v>
      </c>
      <c r="AO106" s="20" t="s">
        <v>38</v>
      </c>
      <c r="AP106" s="20" t="s">
        <v>38</v>
      </c>
      <c r="AQ106" s="20" t="s">
        <v>38</v>
      </c>
      <c r="AR106" s="20" t="s">
        <v>38</v>
      </c>
      <c r="AS106" s="20" t="s">
        <v>38</v>
      </c>
      <c r="AT106" s="20" t="s">
        <v>38</v>
      </c>
      <c r="AU106" s="20" t="s">
        <v>38</v>
      </c>
      <c r="AV106" s="20" t="s">
        <v>38</v>
      </c>
      <c r="AW106" s="20" t="s">
        <v>38</v>
      </c>
      <c r="AX106" s="20" t="s">
        <v>38</v>
      </c>
      <c r="AY106" s="20" t="s">
        <v>38</v>
      </c>
      <c r="AZ106" s="20" t="s">
        <v>38</v>
      </c>
      <c r="BA106" s="20" t="s">
        <v>38</v>
      </c>
      <c r="BB106" s="20" t="s">
        <v>38</v>
      </c>
      <c r="BC106" s="20" t="s">
        <v>38</v>
      </c>
      <c r="BD106" s="20" t="s">
        <v>38</v>
      </c>
      <c r="BE106" s="20" t="s">
        <v>38</v>
      </c>
      <c r="BF106" s="20" t="s">
        <v>38</v>
      </c>
      <c r="BG106" s="20" t="s">
        <v>38</v>
      </c>
      <c r="BH106" s="20" t="s">
        <v>38</v>
      </c>
      <c r="BI106" s="20" t="s">
        <v>38</v>
      </c>
      <c r="BJ106" s="20" t="s">
        <v>38</v>
      </c>
      <c r="BK106" s="20" t="s">
        <v>38</v>
      </c>
      <c r="BL106" s="20" t="s">
        <v>38</v>
      </c>
      <c r="BM106" s="20" t="s">
        <v>38</v>
      </c>
      <c r="BN106" s="20" t="s">
        <v>38</v>
      </c>
      <c r="BO106" s="20" t="s">
        <v>38</v>
      </c>
      <c r="BP106" s="20" t="s">
        <v>38</v>
      </c>
      <c r="BQ106" s="20" t="s">
        <v>38</v>
      </c>
      <c r="BR106" s="20" t="s">
        <v>38</v>
      </c>
      <c r="BS106" s="20" t="s">
        <v>38</v>
      </c>
      <c r="BT106" s="20" t="s">
        <v>38</v>
      </c>
      <c r="BU106" s="20" t="s">
        <v>38</v>
      </c>
      <c r="BV106" s="20" t="s">
        <v>38</v>
      </c>
      <c r="BW106" s="20" t="s">
        <v>38</v>
      </c>
      <c r="BX106" s="20" t="s">
        <v>38</v>
      </c>
      <c r="BY106" s="85" t="s">
        <v>38</v>
      </c>
      <c r="BZ106" s="85" t="s">
        <v>38</v>
      </c>
      <c r="CA106" s="87" t="s">
        <v>38</v>
      </c>
    </row>
    <row r="107" spans="1:79">
      <c r="A107" s="21" t="s">
        <v>37</v>
      </c>
      <c r="B107" s="82">
        <v>254458.456752</v>
      </c>
      <c r="C107" s="82">
        <v>4505694.83213</v>
      </c>
      <c r="D107" s="20" t="s">
        <v>38</v>
      </c>
      <c r="E107" s="20" t="s">
        <v>38</v>
      </c>
      <c r="F107" s="20" t="s">
        <v>38</v>
      </c>
      <c r="G107" s="20" t="s">
        <v>38</v>
      </c>
      <c r="H107" s="20" t="s">
        <v>38</v>
      </c>
      <c r="I107" s="20" t="s">
        <v>38</v>
      </c>
      <c r="J107" s="20" t="s">
        <v>38</v>
      </c>
      <c r="K107" s="20" t="s">
        <v>38</v>
      </c>
      <c r="L107" s="20" t="s">
        <v>38</v>
      </c>
      <c r="M107" s="20" t="s">
        <v>38</v>
      </c>
      <c r="N107" s="20" t="s">
        <v>38</v>
      </c>
      <c r="O107" s="20" t="s">
        <v>38</v>
      </c>
      <c r="P107" s="20" t="s">
        <v>38</v>
      </c>
      <c r="Q107" s="20" t="s">
        <v>38</v>
      </c>
      <c r="R107" s="20" t="s">
        <v>38</v>
      </c>
      <c r="S107" s="20" t="s">
        <v>38</v>
      </c>
      <c r="T107" s="20" t="s">
        <v>38</v>
      </c>
      <c r="U107" s="20" t="s">
        <v>38</v>
      </c>
      <c r="V107" s="20" t="s">
        <v>38</v>
      </c>
      <c r="W107" s="20" t="s">
        <v>38</v>
      </c>
      <c r="X107" s="20" t="s">
        <v>38</v>
      </c>
      <c r="Y107" s="20" t="s">
        <v>38</v>
      </c>
      <c r="Z107" s="20" t="s">
        <v>38</v>
      </c>
      <c r="AA107" s="20" t="s">
        <v>38</v>
      </c>
      <c r="AB107" s="20" t="s">
        <v>38</v>
      </c>
      <c r="AC107" s="20" t="s">
        <v>38</v>
      </c>
      <c r="AD107" s="20" t="s">
        <v>38</v>
      </c>
      <c r="AE107" s="20" t="s">
        <v>38</v>
      </c>
      <c r="AF107" s="20" t="s">
        <v>38</v>
      </c>
      <c r="AG107" s="20" t="s">
        <v>38</v>
      </c>
      <c r="AH107" s="20" t="s">
        <v>38</v>
      </c>
      <c r="AI107" s="20" t="s">
        <v>38</v>
      </c>
      <c r="AJ107" s="20" t="s">
        <v>38</v>
      </c>
      <c r="AK107" s="20" t="s">
        <v>38</v>
      </c>
      <c r="AL107" s="20" t="s">
        <v>38</v>
      </c>
      <c r="AM107" s="20" t="s">
        <v>38</v>
      </c>
      <c r="AN107" s="20" t="s">
        <v>38</v>
      </c>
      <c r="AO107" s="20" t="s">
        <v>38</v>
      </c>
      <c r="AP107" s="20" t="s">
        <v>38</v>
      </c>
      <c r="AQ107" s="20" t="s">
        <v>38</v>
      </c>
      <c r="AR107" s="20" t="s">
        <v>38</v>
      </c>
      <c r="AS107" s="20" t="s">
        <v>38</v>
      </c>
      <c r="AT107" s="20" t="s">
        <v>38</v>
      </c>
      <c r="AU107" s="20" t="s">
        <v>38</v>
      </c>
      <c r="AV107" s="20" t="s">
        <v>38</v>
      </c>
      <c r="AW107" s="20" t="s">
        <v>38</v>
      </c>
      <c r="AX107" s="20" t="s">
        <v>38</v>
      </c>
      <c r="AY107" s="20" t="s">
        <v>38</v>
      </c>
      <c r="AZ107" s="20" t="s">
        <v>38</v>
      </c>
      <c r="BA107" s="20" t="s">
        <v>38</v>
      </c>
      <c r="BB107" s="20" t="s">
        <v>38</v>
      </c>
      <c r="BC107" s="20" t="s">
        <v>38</v>
      </c>
      <c r="BD107" s="20" t="s">
        <v>38</v>
      </c>
      <c r="BE107" s="20" t="s">
        <v>38</v>
      </c>
      <c r="BF107" s="20" t="s">
        <v>38</v>
      </c>
      <c r="BG107" s="20" t="s">
        <v>38</v>
      </c>
      <c r="BH107" s="20" t="s">
        <v>38</v>
      </c>
      <c r="BI107" s="20" t="s">
        <v>38</v>
      </c>
      <c r="BJ107" s="20" t="s">
        <v>38</v>
      </c>
      <c r="BK107" s="20" t="s">
        <v>38</v>
      </c>
      <c r="BL107" s="20" t="s">
        <v>38</v>
      </c>
      <c r="BM107" s="20" t="s">
        <v>38</v>
      </c>
      <c r="BN107" s="20" t="s">
        <v>38</v>
      </c>
      <c r="BO107" s="20" t="s">
        <v>38</v>
      </c>
      <c r="BP107" s="20" t="s">
        <v>38</v>
      </c>
      <c r="BQ107" s="20" t="s">
        <v>38</v>
      </c>
      <c r="BR107" s="20" t="s">
        <v>38</v>
      </c>
      <c r="BS107" s="20" t="s">
        <v>38</v>
      </c>
      <c r="BT107" s="20" t="s">
        <v>38</v>
      </c>
      <c r="BU107" s="20" t="s">
        <v>38</v>
      </c>
      <c r="BV107" s="20" t="s">
        <v>38</v>
      </c>
      <c r="BW107" s="20" t="s">
        <v>38</v>
      </c>
      <c r="BX107" s="20" t="s">
        <v>38</v>
      </c>
      <c r="BY107" s="85" t="s">
        <v>38</v>
      </c>
      <c r="BZ107" s="85" t="s">
        <v>38</v>
      </c>
      <c r="CA107" s="87" t="s">
        <v>38</v>
      </c>
    </row>
    <row r="108" spans="1:79">
      <c r="V108" s="22"/>
      <c r="W108" s="22"/>
    </row>
    <row r="109" spans="1:79">
      <c r="V109" s="22"/>
      <c r="W109" s="22"/>
    </row>
    <row r="110" spans="1:79">
      <c r="V110" s="22"/>
      <c r="W110" s="22"/>
    </row>
    <row r="111" spans="1:79">
      <c r="V111" s="22"/>
      <c r="W111" s="22"/>
    </row>
    <row r="112" spans="1:79">
      <c r="V112" s="22"/>
      <c r="W112" s="22"/>
    </row>
    <row r="113" spans="22:23">
      <c r="V113" s="22"/>
      <c r="W113" s="22"/>
    </row>
    <row r="114" spans="22:23">
      <c r="W114" s="22"/>
    </row>
    <row r="115" spans="22:23">
      <c r="W115" s="22"/>
    </row>
  </sheetData>
  <phoneticPr fontId="27" type="noConversion"/>
  <pageMargins left="0.7" right="0.7" top="0.75" bottom="0.75" header="0.3" footer="0.3"/>
  <pageSetup orientation="portrait" horizontalDpi="200" verticalDpi="200" copies="0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A115"/>
  <sheetViews>
    <sheetView workbookViewId="0">
      <selection activeCell="CA218" sqref="BY108:CA218"/>
    </sheetView>
  </sheetViews>
  <sheetFormatPr defaultColWidth="8.85546875" defaultRowHeight="15.75"/>
  <cols>
    <col min="1" max="1" width="5.140625" style="76" bestFit="1" customWidth="1"/>
    <col min="2" max="3" width="19.7109375" style="82" customWidth="1"/>
    <col min="4" max="4" width="10.42578125" style="76" customWidth="1"/>
    <col min="5" max="5" width="11.42578125" style="76" customWidth="1"/>
    <col min="6" max="7" width="10.42578125" style="76" customWidth="1"/>
    <col min="8" max="8" width="9.85546875" style="76" customWidth="1"/>
    <col min="9" max="9" width="10" style="76" customWidth="1"/>
    <col min="10" max="10" width="10.42578125" style="76" customWidth="1"/>
    <col min="11" max="11" width="11.28515625" style="76" customWidth="1"/>
    <col min="12" max="13" width="10.42578125" style="76" customWidth="1"/>
    <col min="14" max="14" width="8.85546875" style="69"/>
    <col min="15" max="15" width="8.85546875" style="81"/>
    <col min="16" max="16" width="8.85546875" style="69"/>
    <col min="17" max="17" width="10" style="69" customWidth="1"/>
    <col min="18" max="18" width="13" style="69" customWidth="1"/>
    <col min="19" max="19" width="11.42578125" style="69" customWidth="1"/>
    <col min="20" max="20" width="11.42578125" style="66" customWidth="1"/>
    <col min="21" max="21" width="11.85546875" style="66" customWidth="1"/>
    <col min="22" max="22" width="11.7109375" style="66" customWidth="1"/>
    <col min="23" max="23" width="13.42578125" style="80" customWidth="1"/>
    <col min="24" max="24" width="11.42578125" style="76" bestFit="1" customWidth="1"/>
    <col min="25" max="25" width="12.85546875" style="76" bestFit="1" customWidth="1"/>
    <col min="26" max="26" width="11.42578125" style="76" bestFit="1" customWidth="1"/>
    <col min="27" max="30" width="12.85546875" style="76" bestFit="1" customWidth="1"/>
    <col min="31" max="32" width="11.42578125" style="76" bestFit="1" customWidth="1"/>
    <col min="33" max="33" width="12.85546875" style="76" bestFit="1" customWidth="1"/>
    <col min="34" max="34" width="11.42578125" style="76" bestFit="1" customWidth="1"/>
    <col min="35" max="37" width="12.85546875" style="76" bestFit="1" customWidth="1"/>
    <col min="38" max="39" width="14.28515625" style="76" bestFit="1" customWidth="1"/>
    <col min="40" max="77" width="10.42578125" style="76" customWidth="1"/>
    <col min="78" max="78" width="11.42578125" style="76" customWidth="1"/>
    <col min="79" max="79" width="10.42578125" style="76" customWidth="1"/>
    <col min="80" max="16384" width="8.85546875" style="76"/>
  </cols>
  <sheetData>
    <row r="1" spans="1:79">
      <c r="A1" s="64" t="s">
        <v>57</v>
      </c>
      <c r="B1" s="82" t="s">
        <v>54</v>
      </c>
      <c r="C1" s="82" t="s">
        <v>55</v>
      </c>
      <c r="D1" s="66" t="s">
        <v>117</v>
      </c>
      <c r="E1" s="66" t="s">
        <v>116</v>
      </c>
      <c r="F1" s="66" t="s">
        <v>115</v>
      </c>
      <c r="G1" s="66" t="s">
        <v>114</v>
      </c>
      <c r="H1" s="66" t="s">
        <v>113</v>
      </c>
      <c r="I1" s="66" t="s">
        <v>112</v>
      </c>
      <c r="J1" s="66" t="s">
        <v>111</v>
      </c>
      <c r="K1" s="66" t="s">
        <v>110</v>
      </c>
      <c r="L1" s="66" t="s">
        <v>109</v>
      </c>
      <c r="M1" s="66" t="s">
        <v>108</v>
      </c>
      <c r="N1" s="67" t="s">
        <v>107</v>
      </c>
      <c r="O1" s="67" t="s">
        <v>106</v>
      </c>
      <c r="P1" s="67" t="s">
        <v>105</v>
      </c>
      <c r="Q1" s="67" t="s">
        <v>104</v>
      </c>
      <c r="R1" s="68" t="s">
        <v>103</v>
      </c>
      <c r="S1" s="69" t="s">
        <v>102</v>
      </c>
      <c r="T1" s="70" t="s">
        <v>82</v>
      </c>
      <c r="U1" s="70" t="s">
        <v>83</v>
      </c>
      <c r="V1" s="70" t="s">
        <v>84</v>
      </c>
      <c r="W1" s="70" t="s">
        <v>85</v>
      </c>
      <c r="X1" s="71" t="s">
        <v>86</v>
      </c>
      <c r="Y1" s="71" t="s">
        <v>87</v>
      </c>
      <c r="Z1" s="71" t="s">
        <v>88</v>
      </c>
      <c r="AA1" s="71" t="s">
        <v>89</v>
      </c>
      <c r="AB1" s="71" t="s">
        <v>90</v>
      </c>
      <c r="AC1" s="71" t="s">
        <v>91</v>
      </c>
      <c r="AD1" s="72" t="s">
        <v>92</v>
      </c>
      <c r="AE1" s="72" t="s">
        <v>93</v>
      </c>
      <c r="AF1" s="72" t="s">
        <v>94</v>
      </c>
      <c r="AG1" s="72" t="s">
        <v>95</v>
      </c>
      <c r="AH1" s="72" t="s">
        <v>96</v>
      </c>
      <c r="AI1" s="72" t="s">
        <v>97</v>
      </c>
      <c r="AJ1" s="72" t="s">
        <v>98</v>
      </c>
      <c r="AK1" s="72" t="s">
        <v>99</v>
      </c>
      <c r="AL1" s="72" t="s">
        <v>100</v>
      </c>
      <c r="AM1" s="72" t="s">
        <v>101</v>
      </c>
      <c r="AN1" s="73" t="s">
        <v>118</v>
      </c>
      <c r="AO1" s="73" t="s">
        <v>119</v>
      </c>
      <c r="AP1" s="73" t="s">
        <v>120</v>
      </c>
      <c r="AQ1" s="73" t="s">
        <v>121</v>
      </c>
      <c r="AR1" s="73" t="s">
        <v>122</v>
      </c>
      <c r="AS1" s="73" t="s">
        <v>123</v>
      </c>
      <c r="AT1" s="73" t="s">
        <v>124</v>
      </c>
      <c r="AU1" s="73" t="s">
        <v>125</v>
      </c>
      <c r="AV1" s="73" t="s">
        <v>126</v>
      </c>
      <c r="AW1" s="73" t="s">
        <v>127</v>
      </c>
      <c r="AX1" s="73" t="s">
        <v>128</v>
      </c>
      <c r="AY1" s="73" t="s">
        <v>129</v>
      </c>
      <c r="AZ1" s="73" t="s">
        <v>130</v>
      </c>
      <c r="BA1" s="73" t="s">
        <v>131</v>
      </c>
      <c r="BB1" s="74" t="s">
        <v>132</v>
      </c>
      <c r="BC1" s="74" t="s">
        <v>133</v>
      </c>
      <c r="BD1" s="74" t="s">
        <v>134</v>
      </c>
      <c r="BE1" s="74" t="s">
        <v>135</v>
      </c>
      <c r="BF1" s="74" t="s">
        <v>136</v>
      </c>
      <c r="BG1" s="73" t="s">
        <v>81</v>
      </c>
      <c r="BH1" s="73" t="s">
        <v>137</v>
      </c>
      <c r="BI1" s="33" t="s">
        <v>80</v>
      </c>
      <c r="BJ1" s="73" t="s">
        <v>138</v>
      </c>
      <c r="BK1" s="73" t="s">
        <v>139</v>
      </c>
      <c r="BL1" s="73" t="s">
        <v>140</v>
      </c>
      <c r="BM1" s="73" t="s">
        <v>141</v>
      </c>
      <c r="BN1" s="73" t="s">
        <v>142</v>
      </c>
      <c r="BO1" s="73" t="s">
        <v>143</v>
      </c>
      <c r="BP1" s="73" t="s">
        <v>144</v>
      </c>
      <c r="BQ1" s="33" t="s">
        <v>145</v>
      </c>
      <c r="BR1" s="75" t="s">
        <v>146</v>
      </c>
      <c r="BS1" s="75" t="s">
        <v>147</v>
      </c>
      <c r="BT1" s="75" t="s">
        <v>148</v>
      </c>
      <c r="BU1" s="35" t="s">
        <v>149</v>
      </c>
      <c r="BV1" s="75" t="s">
        <v>150</v>
      </c>
      <c r="BW1" s="35" t="s">
        <v>151</v>
      </c>
      <c r="BX1" s="35" t="s">
        <v>152</v>
      </c>
      <c r="BY1" s="69" t="s">
        <v>153</v>
      </c>
      <c r="BZ1" s="69" t="s">
        <v>154</v>
      </c>
      <c r="CA1" s="69" t="s">
        <v>155</v>
      </c>
    </row>
    <row r="2" spans="1:79">
      <c r="A2" s="64" t="s">
        <v>0</v>
      </c>
      <c r="B2" s="82">
        <v>254435.22415699999</v>
      </c>
      <c r="C2" s="82">
        <v>4505558.7383700004</v>
      </c>
      <c r="D2" s="78" t="s">
        <v>38</v>
      </c>
      <c r="E2" s="79">
        <v>0.1</v>
      </c>
      <c r="F2" s="79">
        <v>0.107</v>
      </c>
      <c r="G2" s="79">
        <v>0.106</v>
      </c>
      <c r="H2" s="79">
        <v>9.8500000000000004E-2</v>
      </c>
      <c r="I2" s="79">
        <v>7.9000000000000001E-2</v>
      </c>
      <c r="J2" s="79">
        <v>8.3999999999999991E-2</v>
      </c>
      <c r="K2" s="79">
        <v>7.2999999999999995E-2</v>
      </c>
      <c r="L2" s="79">
        <v>7.6499999999999999E-2</v>
      </c>
      <c r="M2" s="79">
        <v>5.7999999999999996E-2</v>
      </c>
      <c r="N2" s="67">
        <v>0.08</v>
      </c>
      <c r="O2" s="67">
        <v>6.9000000000000006E-2</v>
      </c>
      <c r="P2" s="67">
        <v>0.08</v>
      </c>
      <c r="Q2" s="67">
        <v>8.199999999999999E-2</v>
      </c>
      <c r="R2" s="67">
        <v>7.3999999999999996E-2</v>
      </c>
      <c r="S2" s="67">
        <v>8.6499999999999994E-2</v>
      </c>
      <c r="T2" s="51">
        <v>0.126</v>
      </c>
      <c r="U2" s="51">
        <v>0.122</v>
      </c>
      <c r="V2" s="51">
        <v>0.122</v>
      </c>
      <c r="W2" s="51">
        <v>0.115</v>
      </c>
      <c r="X2" s="51">
        <v>0.104</v>
      </c>
      <c r="Y2" s="51">
        <v>0.112</v>
      </c>
      <c r="Z2" s="51">
        <v>0.107</v>
      </c>
      <c r="AA2" s="51">
        <v>0.107</v>
      </c>
      <c r="AB2" s="51">
        <v>0.113</v>
      </c>
      <c r="AC2" s="51">
        <v>0.251</v>
      </c>
      <c r="AD2" s="51">
        <v>0.13</v>
      </c>
      <c r="AE2" s="51">
        <v>0.129</v>
      </c>
      <c r="AF2" s="51">
        <v>0.107</v>
      </c>
      <c r="AG2" s="51">
        <v>0.1</v>
      </c>
      <c r="AH2" s="51">
        <v>9.6000000000000002E-2</v>
      </c>
      <c r="AI2" s="51">
        <v>0.11</v>
      </c>
      <c r="AJ2" s="51">
        <v>0.12</v>
      </c>
      <c r="AK2" s="51">
        <v>0.123</v>
      </c>
      <c r="AL2" s="51">
        <v>0.123</v>
      </c>
      <c r="AM2" s="51">
        <v>0.113</v>
      </c>
      <c r="AN2" s="51">
        <v>0.104</v>
      </c>
      <c r="AO2" s="51">
        <v>5.7000000000000002E-2</v>
      </c>
      <c r="AP2" s="51" t="s">
        <v>38</v>
      </c>
      <c r="AQ2" s="51">
        <v>9.2999999999999999E-2</v>
      </c>
      <c r="AR2" s="51">
        <v>8.8999999999999996E-2</v>
      </c>
      <c r="AS2" s="51">
        <v>8.5999999999999993E-2</v>
      </c>
      <c r="AT2" s="51">
        <v>9.2999999999999999E-2</v>
      </c>
      <c r="AU2" s="51">
        <v>8.7999999999999995E-2</v>
      </c>
      <c r="AV2" s="51">
        <v>8.8999999999999996E-2</v>
      </c>
      <c r="AW2" s="51">
        <v>7.4999999999999997E-2</v>
      </c>
      <c r="AX2" s="51">
        <v>9.2999999999999999E-2</v>
      </c>
      <c r="AY2" s="51">
        <v>0.09</v>
      </c>
      <c r="AZ2" s="51">
        <v>8.6999999999999994E-2</v>
      </c>
      <c r="BA2" s="51">
        <v>6.3E-2</v>
      </c>
      <c r="BB2" s="52" t="s">
        <v>38</v>
      </c>
      <c r="BC2" s="51">
        <v>7.5499999999999998E-2</v>
      </c>
      <c r="BD2" s="54" t="s">
        <v>38</v>
      </c>
      <c r="BE2" s="54" t="s">
        <v>38</v>
      </c>
      <c r="BF2" s="54" t="s">
        <v>38</v>
      </c>
      <c r="BG2" s="51">
        <v>0.11849999999999999</v>
      </c>
      <c r="BH2" s="38">
        <v>8.6499999999999994E-2</v>
      </c>
      <c r="BI2" s="38">
        <v>9.7500000000000003E-2</v>
      </c>
      <c r="BJ2" s="38">
        <v>0.10100000000000001</v>
      </c>
      <c r="BK2" s="38">
        <v>9.7000000000000003E-2</v>
      </c>
      <c r="BL2" s="38">
        <v>8.5499999999999993E-2</v>
      </c>
      <c r="BM2" s="38">
        <v>0.1045</v>
      </c>
      <c r="BN2" s="55" t="s">
        <v>38</v>
      </c>
      <c r="BO2" s="51">
        <v>0.10050000000000001</v>
      </c>
      <c r="BP2" s="38">
        <v>9.8500000000000004E-2</v>
      </c>
      <c r="BQ2" s="38">
        <v>8.299999999999999E-2</v>
      </c>
      <c r="BR2" s="56">
        <v>8.199999999999999E-2</v>
      </c>
      <c r="BS2" s="56" t="s">
        <v>38</v>
      </c>
      <c r="BT2" s="56">
        <v>8.6499999999999994E-2</v>
      </c>
      <c r="BU2" s="42" t="s">
        <v>38</v>
      </c>
      <c r="BV2" s="56">
        <v>9.2499999999999999E-2</v>
      </c>
      <c r="BW2" s="42">
        <v>8.299999999999999E-2</v>
      </c>
      <c r="BX2" s="42">
        <v>8.6499999999999994E-2</v>
      </c>
      <c r="BY2" s="85">
        <v>0.183</v>
      </c>
      <c r="BZ2" s="85">
        <f>(0.16+0.157)/2</f>
        <v>0.1585</v>
      </c>
      <c r="CA2" s="90">
        <v>0.20449999999999999</v>
      </c>
    </row>
    <row r="3" spans="1:79">
      <c r="A3" s="64" t="s">
        <v>1</v>
      </c>
      <c r="B3" s="82">
        <v>254434.193532</v>
      </c>
      <c r="C3" s="82">
        <v>4505555.6557400003</v>
      </c>
      <c r="D3" s="78" t="s">
        <v>38</v>
      </c>
      <c r="E3" s="79" t="s">
        <v>38</v>
      </c>
      <c r="F3" s="79" t="s">
        <v>38</v>
      </c>
      <c r="G3" s="79" t="s">
        <v>38</v>
      </c>
      <c r="H3" s="79" t="s">
        <v>38</v>
      </c>
      <c r="I3" s="79" t="s">
        <v>38</v>
      </c>
      <c r="J3" s="79" t="s">
        <v>38</v>
      </c>
      <c r="K3" s="79" t="s">
        <v>38</v>
      </c>
      <c r="L3" s="79" t="s">
        <v>38</v>
      </c>
      <c r="M3" s="79" t="s">
        <v>38</v>
      </c>
      <c r="N3" s="79" t="s">
        <v>38</v>
      </c>
      <c r="O3" s="79" t="s">
        <v>38</v>
      </c>
      <c r="P3" s="79" t="s">
        <v>38</v>
      </c>
      <c r="Q3" s="79" t="s">
        <v>38</v>
      </c>
      <c r="R3" s="79" t="s">
        <v>38</v>
      </c>
      <c r="S3" s="79" t="s">
        <v>38</v>
      </c>
      <c r="T3" s="79" t="s">
        <v>38</v>
      </c>
      <c r="U3" s="79" t="s">
        <v>38</v>
      </c>
      <c r="V3" s="79" t="s">
        <v>38</v>
      </c>
      <c r="W3" s="79" t="s">
        <v>38</v>
      </c>
      <c r="X3" s="79" t="s">
        <v>38</v>
      </c>
      <c r="Y3" s="79" t="s">
        <v>38</v>
      </c>
      <c r="Z3" s="79" t="s">
        <v>38</v>
      </c>
      <c r="AA3" s="79" t="s">
        <v>38</v>
      </c>
      <c r="AB3" s="79" t="s">
        <v>38</v>
      </c>
      <c r="AC3" s="79" t="s">
        <v>38</v>
      </c>
      <c r="AD3" s="79" t="s">
        <v>38</v>
      </c>
      <c r="AE3" s="79" t="s">
        <v>38</v>
      </c>
      <c r="AF3" s="79" t="s">
        <v>38</v>
      </c>
      <c r="AG3" s="79" t="s">
        <v>38</v>
      </c>
      <c r="AH3" s="79" t="s">
        <v>38</v>
      </c>
      <c r="AI3" s="79" t="s">
        <v>38</v>
      </c>
      <c r="AJ3" s="79" t="s">
        <v>38</v>
      </c>
      <c r="AK3" s="79" t="s">
        <v>38</v>
      </c>
      <c r="AL3" s="79" t="s">
        <v>38</v>
      </c>
      <c r="AM3" s="79" t="s">
        <v>38</v>
      </c>
      <c r="AN3" s="79" t="s">
        <v>38</v>
      </c>
      <c r="AO3" s="79" t="s">
        <v>38</v>
      </c>
      <c r="AP3" s="79" t="s">
        <v>38</v>
      </c>
      <c r="AQ3" s="79" t="s">
        <v>38</v>
      </c>
      <c r="AR3" s="79" t="s">
        <v>38</v>
      </c>
      <c r="AS3" s="79" t="s">
        <v>38</v>
      </c>
      <c r="AT3" s="79" t="s">
        <v>38</v>
      </c>
      <c r="AU3" s="79" t="s">
        <v>38</v>
      </c>
      <c r="AV3" s="79" t="s">
        <v>38</v>
      </c>
      <c r="AW3" s="79" t="s">
        <v>38</v>
      </c>
      <c r="AX3" s="79" t="s">
        <v>38</v>
      </c>
      <c r="AY3" s="79" t="s">
        <v>38</v>
      </c>
      <c r="AZ3" s="79" t="s">
        <v>38</v>
      </c>
      <c r="BA3" s="79" t="s">
        <v>38</v>
      </c>
      <c r="BB3" s="79" t="s">
        <v>38</v>
      </c>
      <c r="BC3" s="79" t="s">
        <v>38</v>
      </c>
      <c r="BD3" s="79" t="s">
        <v>38</v>
      </c>
      <c r="BE3" s="79" t="s">
        <v>38</v>
      </c>
      <c r="BF3" s="79" t="s">
        <v>38</v>
      </c>
      <c r="BG3" s="79" t="s">
        <v>38</v>
      </c>
      <c r="BH3" s="79" t="s">
        <v>38</v>
      </c>
      <c r="BI3" s="79" t="s">
        <v>38</v>
      </c>
      <c r="BJ3" s="79" t="s">
        <v>38</v>
      </c>
      <c r="BK3" s="79" t="s">
        <v>38</v>
      </c>
      <c r="BL3" s="79" t="s">
        <v>38</v>
      </c>
      <c r="BM3" s="79" t="s">
        <v>38</v>
      </c>
      <c r="BN3" s="79" t="s">
        <v>38</v>
      </c>
      <c r="BO3" s="79" t="s">
        <v>38</v>
      </c>
      <c r="BP3" s="79" t="s">
        <v>38</v>
      </c>
      <c r="BQ3" s="79" t="s">
        <v>38</v>
      </c>
      <c r="BR3" s="79" t="s">
        <v>38</v>
      </c>
      <c r="BS3" s="79" t="s">
        <v>38</v>
      </c>
      <c r="BT3" s="79" t="s">
        <v>38</v>
      </c>
      <c r="BU3" s="79" t="s">
        <v>38</v>
      </c>
      <c r="BV3" s="79" t="s">
        <v>38</v>
      </c>
      <c r="BW3" s="79" t="s">
        <v>38</v>
      </c>
      <c r="BX3" s="79" t="s">
        <v>38</v>
      </c>
      <c r="BY3" s="85" t="s">
        <v>38</v>
      </c>
      <c r="BZ3" s="85" t="s">
        <v>38</v>
      </c>
      <c r="CA3" s="90" t="s">
        <v>38</v>
      </c>
    </row>
    <row r="4" spans="1:79">
      <c r="A4" s="64" t="s">
        <v>2</v>
      </c>
      <c r="B4" s="82">
        <v>254437.047169</v>
      </c>
      <c r="C4" s="82">
        <v>4505550.4602800002</v>
      </c>
      <c r="D4" s="78" t="s">
        <v>38</v>
      </c>
      <c r="E4" s="79" t="s">
        <v>38</v>
      </c>
      <c r="F4" s="79" t="s">
        <v>38</v>
      </c>
      <c r="G4" s="79" t="s">
        <v>38</v>
      </c>
      <c r="H4" s="79" t="s">
        <v>38</v>
      </c>
      <c r="I4" s="79" t="s">
        <v>38</v>
      </c>
      <c r="J4" s="79" t="s">
        <v>38</v>
      </c>
      <c r="K4" s="79" t="s">
        <v>38</v>
      </c>
      <c r="L4" s="79" t="s">
        <v>38</v>
      </c>
      <c r="M4" s="79" t="s">
        <v>38</v>
      </c>
      <c r="N4" s="79" t="s">
        <v>38</v>
      </c>
      <c r="O4" s="79" t="s">
        <v>38</v>
      </c>
      <c r="P4" s="79" t="s">
        <v>38</v>
      </c>
      <c r="Q4" s="79" t="s">
        <v>38</v>
      </c>
      <c r="R4" s="79" t="s">
        <v>38</v>
      </c>
      <c r="S4" s="79" t="s">
        <v>38</v>
      </c>
      <c r="T4" s="79" t="s">
        <v>38</v>
      </c>
      <c r="U4" s="79" t="s">
        <v>38</v>
      </c>
      <c r="V4" s="79" t="s">
        <v>38</v>
      </c>
      <c r="W4" s="79" t="s">
        <v>38</v>
      </c>
      <c r="X4" s="79" t="s">
        <v>38</v>
      </c>
      <c r="Y4" s="79" t="s">
        <v>38</v>
      </c>
      <c r="Z4" s="79" t="s">
        <v>38</v>
      </c>
      <c r="AA4" s="79" t="s">
        <v>38</v>
      </c>
      <c r="AB4" s="79" t="s">
        <v>38</v>
      </c>
      <c r="AC4" s="79" t="s">
        <v>38</v>
      </c>
      <c r="AD4" s="79" t="s">
        <v>38</v>
      </c>
      <c r="AE4" s="79" t="s">
        <v>38</v>
      </c>
      <c r="AF4" s="79" t="s">
        <v>38</v>
      </c>
      <c r="AG4" s="79" t="s">
        <v>38</v>
      </c>
      <c r="AH4" s="79" t="s">
        <v>38</v>
      </c>
      <c r="AI4" s="79" t="s">
        <v>38</v>
      </c>
      <c r="AJ4" s="79" t="s">
        <v>38</v>
      </c>
      <c r="AK4" s="79" t="s">
        <v>38</v>
      </c>
      <c r="AL4" s="79" t="s">
        <v>38</v>
      </c>
      <c r="AM4" s="79" t="s">
        <v>38</v>
      </c>
      <c r="AN4" s="79" t="s">
        <v>38</v>
      </c>
      <c r="AO4" s="79" t="s">
        <v>38</v>
      </c>
      <c r="AP4" s="79" t="s">
        <v>38</v>
      </c>
      <c r="AQ4" s="79" t="s">
        <v>38</v>
      </c>
      <c r="AR4" s="79" t="s">
        <v>38</v>
      </c>
      <c r="AS4" s="79" t="s">
        <v>38</v>
      </c>
      <c r="AT4" s="79" t="s">
        <v>38</v>
      </c>
      <c r="AU4" s="79" t="s">
        <v>38</v>
      </c>
      <c r="AV4" s="79" t="s">
        <v>38</v>
      </c>
      <c r="AW4" s="79" t="s">
        <v>38</v>
      </c>
      <c r="AX4" s="79" t="s">
        <v>38</v>
      </c>
      <c r="AY4" s="79" t="s">
        <v>38</v>
      </c>
      <c r="AZ4" s="79" t="s">
        <v>38</v>
      </c>
      <c r="BA4" s="79" t="s">
        <v>38</v>
      </c>
      <c r="BB4" s="79" t="s">
        <v>38</v>
      </c>
      <c r="BC4" s="79" t="s">
        <v>38</v>
      </c>
      <c r="BD4" s="79" t="s">
        <v>38</v>
      </c>
      <c r="BE4" s="79" t="s">
        <v>38</v>
      </c>
      <c r="BF4" s="79" t="s">
        <v>38</v>
      </c>
      <c r="BG4" s="79" t="s">
        <v>38</v>
      </c>
      <c r="BH4" s="79" t="s">
        <v>38</v>
      </c>
      <c r="BI4" s="79" t="s">
        <v>38</v>
      </c>
      <c r="BJ4" s="79" t="s">
        <v>38</v>
      </c>
      <c r="BK4" s="79" t="s">
        <v>38</v>
      </c>
      <c r="BL4" s="79" t="s">
        <v>38</v>
      </c>
      <c r="BM4" s="79" t="s">
        <v>38</v>
      </c>
      <c r="BN4" s="79" t="s">
        <v>38</v>
      </c>
      <c r="BO4" s="79" t="s">
        <v>38</v>
      </c>
      <c r="BP4" s="79" t="s">
        <v>38</v>
      </c>
      <c r="BQ4" s="79" t="s">
        <v>38</v>
      </c>
      <c r="BR4" s="79" t="s">
        <v>38</v>
      </c>
      <c r="BS4" s="79" t="s">
        <v>38</v>
      </c>
      <c r="BT4" s="79" t="s">
        <v>38</v>
      </c>
      <c r="BU4" s="79" t="s">
        <v>38</v>
      </c>
      <c r="BV4" s="79" t="s">
        <v>38</v>
      </c>
      <c r="BW4" s="79" t="s">
        <v>38</v>
      </c>
      <c r="BX4" s="79" t="s">
        <v>38</v>
      </c>
      <c r="BY4" s="85" t="s">
        <v>38</v>
      </c>
      <c r="BZ4" s="85" t="s">
        <v>38</v>
      </c>
      <c r="CA4" s="90" t="s">
        <v>38</v>
      </c>
    </row>
    <row r="5" spans="1:79">
      <c r="A5" s="64" t="s">
        <v>3</v>
      </c>
      <c r="B5" s="82">
        <v>254438.863595</v>
      </c>
      <c r="C5" s="82">
        <v>4505538.7464199997</v>
      </c>
      <c r="D5" s="78" t="s">
        <v>38</v>
      </c>
      <c r="E5" s="79" t="s">
        <v>38</v>
      </c>
      <c r="F5" s="79" t="s">
        <v>38</v>
      </c>
      <c r="G5" s="79" t="s">
        <v>38</v>
      </c>
      <c r="H5" s="79" t="s">
        <v>38</v>
      </c>
      <c r="I5" s="79" t="s">
        <v>38</v>
      </c>
      <c r="J5" s="79" t="s">
        <v>38</v>
      </c>
      <c r="K5" s="79" t="s">
        <v>38</v>
      </c>
      <c r="L5" s="79" t="s">
        <v>38</v>
      </c>
      <c r="M5" s="79" t="s">
        <v>38</v>
      </c>
      <c r="N5" s="79" t="s">
        <v>38</v>
      </c>
      <c r="O5" s="79" t="s">
        <v>38</v>
      </c>
      <c r="P5" s="79" t="s">
        <v>38</v>
      </c>
      <c r="Q5" s="79" t="s">
        <v>38</v>
      </c>
      <c r="R5" s="79" t="s">
        <v>38</v>
      </c>
      <c r="S5" s="79" t="s">
        <v>38</v>
      </c>
      <c r="T5" s="79" t="s">
        <v>38</v>
      </c>
      <c r="U5" s="79" t="s">
        <v>38</v>
      </c>
      <c r="V5" s="79" t="s">
        <v>38</v>
      </c>
      <c r="W5" s="79" t="s">
        <v>38</v>
      </c>
      <c r="X5" s="79" t="s">
        <v>38</v>
      </c>
      <c r="Y5" s="79" t="s">
        <v>38</v>
      </c>
      <c r="Z5" s="79" t="s">
        <v>38</v>
      </c>
      <c r="AA5" s="79" t="s">
        <v>38</v>
      </c>
      <c r="AB5" s="79" t="s">
        <v>38</v>
      </c>
      <c r="AC5" s="79" t="s">
        <v>38</v>
      </c>
      <c r="AD5" s="79" t="s">
        <v>38</v>
      </c>
      <c r="AE5" s="79" t="s">
        <v>38</v>
      </c>
      <c r="AF5" s="79" t="s">
        <v>38</v>
      </c>
      <c r="AG5" s="79" t="s">
        <v>38</v>
      </c>
      <c r="AH5" s="79" t="s">
        <v>38</v>
      </c>
      <c r="AI5" s="79" t="s">
        <v>38</v>
      </c>
      <c r="AJ5" s="79" t="s">
        <v>38</v>
      </c>
      <c r="AK5" s="79" t="s">
        <v>38</v>
      </c>
      <c r="AL5" s="79" t="s">
        <v>38</v>
      </c>
      <c r="AM5" s="79" t="s">
        <v>38</v>
      </c>
      <c r="AN5" s="79" t="s">
        <v>38</v>
      </c>
      <c r="AO5" s="79" t="s">
        <v>38</v>
      </c>
      <c r="AP5" s="79" t="s">
        <v>38</v>
      </c>
      <c r="AQ5" s="79" t="s">
        <v>38</v>
      </c>
      <c r="AR5" s="79" t="s">
        <v>38</v>
      </c>
      <c r="AS5" s="79" t="s">
        <v>38</v>
      </c>
      <c r="AT5" s="79" t="s">
        <v>38</v>
      </c>
      <c r="AU5" s="79" t="s">
        <v>38</v>
      </c>
      <c r="AV5" s="79" t="s">
        <v>38</v>
      </c>
      <c r="AW5" s="79" t="s">
        <v>38</v>
      </c>
      <c r="AX5" s="79" t="s">
        <v>38</v>
      </c>
      <c r="AY5" s="79" t="s">
        <v>38</v>
      </c>
      <c r="AZ5" s="79" t="s">
        <v>38</v>
      </c>
      <c r="BA5" s="79" t="s">
        <v>38</v>
      </c>
      <c r="BB5" s="79" t="s">
        <v>38</v>
      </c>
      <c r="BC5" s="79" t="s">
        <v>38</v>
      </c>
      <c r="BD5" s="79" t="s">
        <v>38</v>
      </c>
      <c r="BE5" s="79" t="s">
        <v>38</v>
      </c>
      <c r="BF5" s="79" t="s">
        <v>38</v>
      </c>
      <c r="BG5" s="79" t="s">
        <v>38</v>
      </c>
      <c r="BH5" s="79" t="s">
        <v>38</v>
      </c>
      <c r="BI5" s="79" t="s">
        <v>38</v>
      </c>
      <c r="BJ5" s="79" t="s">
        <v>38</v>
      </c>
      <c r="BK5" s="79" t="s">
        <v>38</v>
      </c>
      <c r="BL5" s="79" t="s">
        <v>38</v>
      </c>
      <c r="BM5" s="79" t="s">
        <v>38</v>
      </c>
      <c r="BN5" s="79" t="s">
        <v>38</v>
      </c>
      <c r="BO5" s="79" t="s">
        <v>38</v>
      </c>
      <c r="BP5" s="79" t="s">
        <v>38</v>
      </c>
      <c r="BQ5" s="79" t="s">
        <v>38</v>
      </c>
      <c r="BR5" s="79" t="s">
        <v>38</v>
      </c>
      <c r="BS5" s="79" t="s">
        <v>38</v>
      </c>
      <c r="BT5" s="79" t="s">
        <v>38</v>
      </c>
      <c r="BU5" s="79" t="s">
        <v>38</v>
      </c>
      <c r="BV5" s="79" t="s">
        <v>38</v>
      </c>
      <c r="BW5" s="79" t="s">
        <v>38</v>
      </c>
      <c r="BX5" s="79" t="s">
        <v>38</v>
      </c>
      <c r="BY5" s="85" t="s">
        <v>38</v>
      </c>
      <c r="BZ5" s="85" t="s">
        <v>38</v>
      </c>
      <c r="CA5" s="90" t="s">
        <v>38</v>
      </c>
    </row>
    <row r="6" spans="1:79">
      <c r="A6" s="64" t="s">
        <v>4</v>
      </c>
      <c r="B6" s="82">
        <v>254443.36339700001</v>
      </c>
      <c r="C6" s="82">
        <v>4505517.0831000004</v>
      </c>
      <c r="D6" s="78" t="s">
        <v>38</v>
      </c>
      <c r="E6" s="79" t="s">
        <v>38</v>
      </c>
      <c r="F6" s="79" t="s">
        <v>38</v>
      </c>
      <c r="G6" s="79" t="s">
        <v>38</v>
      </c>
      <c r="H6" s="79" t="s">
        <v>38</v>
      </c>
      <c r="I6" s="79" t="s">
        <v>38</v>
      </c>
      <c r="J6" s="79" t="s">
        <v>38</v>
      </c>
      <c r="K6" s="79" t="s">
        <v>38</v>
      </c>
      <c r="L6" s="79" t="s">
        <v>38</v>
      </c>
      <c r="M6" s="79" t="s">
        <v>38</v>
      </c>
      <c r="N6" s="79" t="s">
        <v>38</v>
      </c>
      <c r="O6" s="79" t="s">
        <v>38</v>
      </c>
      <c r="P6" s="79" t="s">
        <v>38</v>
      </c>
      <c r="Q6" s="79" t="s">
        <v>38</v>
      </c>
      <c r="R6" s="79" t="s">
        <v>38</v>
      </c>
      <c r="S6" s="79" t="s">
        <v>38</v>
      </c>
      <c r="T6" s="79" t="s">
        <v>38</v>
      </c>
      <c r="U6" s="79" t="s">
        <v>38</v>
      </c>
      <c r="V6" s="79" t="s">
        <v>38</v>
      </c>
      <c r="W6" s="79" t="s">
        <v>38</v>
      </c>
      <c r="X6" s="79" t="s">
        <v>38</v>
      </c>
      <c r="Y6" s="79" t="s">
        <v>38</v>
      </c>
      <c r="Z6" s="79" t="s">
        <v>38</v>
      </c>
      <c r="AA6" s="79" t="s">
        <v>38</v>
      </c>
      <c r="AB6" s="79" t="s">
        <v>38</v>
      </c>
      <c r="AC6" s="79" t="s">
        <v>38</v>
      </c>
      <c r="AD6" s="79" t="s">
        <v>38</v>
      </c>
      <c r="AE6" s="79" t="s">
        <v>38</v>
      </c>
      <c r="AF6" s="79" t="s">
        <v>38</v>
      </c>
      <c r="AG6" s="79" t="s">
        <v>38</v>
      </c>
      <c r="AH6" s="79" t="s">
        <v>38</v>
      </c>
      <c r="AI6" s="79" t="s">
        <v>38</v>
      </c>
      <c r="AJ6" s="79" t="s">
        <v>38</v>
      </c>
      <c r="AK6" s="79" t="s">
        <v>38</v>
      </c>
      <c r="AL6" s="79" t="s">
        <v>38</v>
      </c>
      <c r="AM6" s="79" t="s">
        <v>38</v>
      </c>
      <c r="AN6" s="79" t="s">
        <v>38</v>
      </c>
      <c r="AO6" s="79" t="s">
        <v>38</v>
      </c>
      <c r="AP6" s="79" t="s">
        <v>38</v>
      </c>
      <c r="AQ6" s="79" t="s">
        <v>38</v>
      </c>
      <c r="AR6" s="79" t="s">
        <v>38</v>
      </c>
      <c r="AS6" s="79" t="s">
        <v>38</v>
      </c>
      <c r="AT6" s="79" t="s">
        <v>38</v>
      </c>
      <c r="AU6" s="79" t="s">
        <v>38</v>
      </c>
      <c r="AV6" s="79" t="s">
        <v>38</v>
      </c>
      <c r="AW6" s="79" t="s">
        <v>38</v>
      </c>
      <c r="AX6" s="79" t="s">
        <v>38</v>
      </c>
      <c r="AY6" s="79" t="s">
        <v>38</v>
      </c>
      <c r="AZ6" s="79" t="s">
        <v>38</v>
      </c>
      <c r="BA6" s="79" t="s">
        <v>38</v>
      </c>
      <c r="BB6" s="79" t="s">
        <v>38</v>
      </c>
      <c r="BC6" s="79" t="s">
        <v>38</v>
      </c>
      <c r="BD6" s="79" t="s">
        <v>38</v>
      </c>
      <c r="BE6" s="79" t="s">
        <v>38</v>
      </c>
      <c r="BF6" s="79" t="s">
        <v>38</v>
      </c>
      <c r="BG6" s="79" t="s">
        <v>38</v>
      </c>
      <c r="BH6" s="79" t="s">
        <v>38</v>
      </c>
      <c r="BI6" s="79" t="s">
        <v>38</v>
      </c>
      <c r="BJ6" s="79" t="s">
        <v>38</v>
      </c>
      <c r="BK6" s="79" t="s">
        <v>38</v>
      </c>
      <c r="BL6" s="79" t="s">
        <v>38</v>
      </c>
      <c r="BM6" s="79" t="s">
        <v>38</v>
      </c>
      <c r="BN6" s="79" t="s">
        <v>38</v>
      </c>
      <c r="BO6" s="79" t="s">
        <v>38</v>
      </c>
      <c r="BP6" s="79" t="s">
        <v>38</v>
      </c>
      <c r="BQ6" s="79" t="s">
        <v>38</v>
      </c>
      <c r="BR6" s="79" t="s">
        <v>38</v>
      </c>
      <c r="BS6" s="79" t="s">
        <v>38</v>
      </c>
      <c r="BT6" s="79" t="s">
        <v>38</v>
      </c>
      <c r="BU6" s="79" t="s">
        <v>38</v>
      </c>
      <c r="BV6" s="79" t="s">
        <v>38</v>
      </c>
      <c r="BW6" s="79" t="s">
        <v>38</v>
      </c>
      <c r="BX6" s="79" t="s">
        <v>38</v>
      </c>
      <c r="BY6" s="85" t="s">
        <v>38</v>
      </c>
      <c r="BZ6" s="84" t="s">
        <v>38</v>
      </c>
      <c r="CA6" s="90" t="s">
        <v>38</v>
      </c>
    </row>
    <row r="7" spans="1:79">
      <c r="A7" s="64" t="s">
        <v>5</v>
      </c>
      <c r="B7" s="82">
        <v>254468.858427</v>
      </c>
      <c r="C7" s="82">
        <v>4505567.6974299997</v>
      </c>
      <c r="D7" s="78" t="s">
        <v>38</v>
      </c>
      <c r="E7" s="79" t="s">
        <v>38</v>
      </c>
      <c r="F7" s="79" t="s">
        <v>38</v>
      </c>
      <c r="G7" s="79" t="s">
        <v>38</v>
      </c>
      <c r="H7" s="79" t="s">
        <v>38</v>
      </c>
      <c r="I7" s="79" t="s">
        <v>38</v>
      </c>
      <c r="J7" s="79" t="s">
        <v>38</v>
      </c>
      <c r="K7" s="79" t="s">
        <v>38</v>
      </c>
      <c r="L7" s="79" t="s">
        <v>38</v>
      </c>
      <c r="M7" s="79" t="s">
        <v>38</v>
      </c>
      <c r="N7" s="79" t="s">
        <v>38</v>
      </c>
      <c r="O7" s="79" t="s">
        <v>38</v>
      </c>
      <c r="P7" s="79" t="s">
        <v>38</v>
      </c>
      <c r="Q7" s="79" t="s">
        <v>38</v>
      </c>
      <c r="R7" s="79" t="s">
        <v>38</v>
      </c>
      <c r="S7" s="79" t="s">
        <v>38</v>
      </c>
      <c r="T7" s="79" t="s">
        <v>38</v>
      </c>
      <c r="U7" s="79" t="s">
        <v>38</v>
      </c>
      <c r="V7" s="79" t="s">
        <v>38</v>
      </c>
      <c r="W7" s="79" t="s">
        <v>38</v>
      </c>
      <c r="X7" s="79" t="s">
        <v>38</v>
      </c>
      <c r="Y7" s="79" t="s">
        <v>38</v>
      </c>
      <c r="Z7" s="79" t="s">
        <v>38</v>
      </c>
      <c r="AA7" s="79" t="s">
        <v>38</v>
      </c>
      <c r="AB7" s="79" t="s">
        <v>38</v>
      </c>
      <c r="AC7" s="79" t="s">
        <v>38</v>
      </c>
      <c r="AD7" s="79" t="s">
        <v>38</v>
      </c>
      <c r="AE7" s="79" t="s">
        <v>38</v>
      </c>
      <c r="AF7" s="79" t="s">
        <v>38</v>
      </c>
      <c r="AG7" s="79" t="s">
        <v>38</v>
      </c>
      <c r="AH7" s="79" t="s">
        <v>38</v>
      </c>
      <c r="AI7" s="79" t="s">
        <v>38</v>
      </c>
      <c r="AJ7" s="79" t="s">
        <v>38</v>
      </c>
      <c r="AK7" s="79" t="s">
        <v>38</v>
      </c>
      <c r="AL7" s="79" t="s">
        <v>38</v>
      </c>
      <c r="AM7" s="79" t="s">
        <v>38</v>
      </c>
      <c r="AN7" s="79" t="s">
        <v>38</v>
      </c>
      <c r="AO7" s="79" t="s">
        <v>38</v>
      </c>
      <c r="AP7" s="79" t="s">
        <v>38</v>
      </c>
      <c r="AQ7" s="79" t="s">
        <v>38</v>
      </c>
      <c r="AR7" s="79" t="s">
        <v>38</v>
      </c>
      <c r="AS7" s="79" t="s">
        <v>38</v>
      </c>
      <c r="AT7" s="79" t="s">
        <v>38</v>
      </c>
      <c r="AU7" s="79" t="s">
        <v>38</v>
      </c>
      <c r="AV7" s="79" t="s">
        <v>38</v>
      </c>
      <c r="AW7" s="79" t="s">
        <v>38</v>
      </c>
      <c r="AX7" s="79" t="s">
        <v>38</v>
      </c>
      <c r="AY7" s="79" t="s">
        <v>38</v>
      </c>
      <c r="AZ7" s="79" t="s">
        <v>38</v>
      </c>
      <c r="BA7" s="79" t="s">
        <v>38</v>
      </c>
      <c r="BB7" s="79" t="s">
        <v>38</v>
      </c>
      <c r="BC7" s="79" t="s">
        <v>38</v>
      </c>
      <c r="BD7" s="79" t="s">
        <v>38</v>
      </c>
      <c r="BE7" s="79" t="s">
        <v>38</v>
      </c>
      <c r="BF7" s="79" t="s">
        <v>38</v>
      </c>
      <c r="BG7" s="79" t="s">
        <v>38</v>
      </c>
      <c r="BH7" s="79" t="s">
        <v>38</v>
      </c>
      <c r="BI7" s="79" t="s">
        <v>38</v>
      </c>
      <c r="BJ7" s="79" t="s">
        <v>38</v>
      </c>
      <c r="BK7" s="79" t="s">
        <v>38</v>
      </c>
      <c r="BL7" s="79" t="s">
        <v>38</v>
      </c>
      <c r="BM7" s="79" t="s">
        <v>38</v>
      </c>
      <c r="BN7" s="79" t="s">
        <v>38</v>
      </c>
      <c r="BO7" s="79" t="s">
        <v>38</v>
      </c>
      <c r="BP7" s="79" t="s">
        <v>38</v>
      </c>
      <c r="BQ7" s="79" t="s">
        <v>38</v>
      </c>
      <c r="BR7" s="79" t="s">
        <v>38</v>
      </c>
      <c r="BS7" s="79" t="s">
        <v>38</v>
      </c>
      <c r="BT7" s="79" t="s">
        <v>38</v>
      </c>
      <c r="BU7" s="79" t="s">
        <v>38</v>
      </c>
      <c r="BV7" s="79" t="s">
        <v>38</v>
      </c>
      <c r="BW7" s="79" t="s">
        <v>38</v>
      </c>
      <c r="BX7" s="79" t="s">
        <v>38</v>
      </c>
      <c r="BY7" s="85" t="s">
        <v>38</v>
      </c>
      <c r="BZ7" s="79" t="s">
        <v>38</v>
      </c>
      <c r="CA7" s="90" t="s">
        <v>38</v>
      </c>
    </row>
    <row r="8" spans="1:79">
      <c r="A8" s="64" t="s">
        <v>6</v>
      </c>
      <c r="B8" s="82">
        <v>254476.14911900001</v>
      </c>
      <c r="C8" s="82">
        <v>4505545.3174999999</v>
      </c>
      <c r="D8" s="78" t="s">
        <v>38</v>
      </c>
      <c r="E8" s="79" t="s">
        <v>38</v>
      </c>
      <c r="F8" s="79" t="s">
        <v>38</v>
      </c>
      <c r="G8" s="79" t="s">
        <v>38</v>
      </c>
      <c r="H8" s="79" t="s">
        <v>38</v>
      </c>
      <c r="I8" s="79" t="s">
        <v>38</v>
      </c>
      <c r="J8" s="79" t="s">
        <v>38</v>
      </c>
      <c r="K8" s="79" t="s">
        <v>38</v>
      </c>
      <c r="L8" s="79" t="s">
        <v>38</v>
      </c>
      <c r="M8" s="79" t="s">
        <v>38</v>
      </c>
      <c r="N8" s="79" t="s">
        <v>38</v>
      </c>
      <c r="O8" s="79" t="s">
        <v>38</v>
      </c>
      <c r="P8" s="79" t="s">
        <v>38</v>
      </c>
      <c r="Q8" s="79" t="s">
        <v>38</v>
      </c>
      <c r="R8" s="79" t="s">
        <v>38</v>
      </c>
      <c r="S8" s="79" t="s">
        <v>38</v>
      </c>
      <c r="T8" s="79" t="s">
        <v>38</v>
      </c>
      <c r="U8" s="79" t="s">
        <v>38</v>
      </c>
      <c r="V8" s="79" t="s">
        <v>38</v>
      </c>
      <c r="W8" s="79" t="s">
        <v>38</v>
      </c>
      <c r="X8" s="79" t="s">
        <v>38</v>
      </c>
      <c r="Y8" s="79" t="s">
        <v>38</v>
      </c>
      <c r="Z8" s="79" t="s">
        <v>38</v>
      </c>
      <c r="AA8" s="79" t="s">
        <v>38</v>
      </c>
      <c r="AB8" s="79" t="s">
        <v>38</v>
      </c>
      <c r="AC8" s="79" t="s">
        <v>38</v>
      </c>
      <c r="AD8" s="79" t="s">
        <v>38</v>
      </c>
      <c r="AE8" s="79" t="s">
        <v>38</v>
      </c>
      <c r="AF8" s="79" t="s">
        <v>38</v>
      </c>
      <c r="AG8" s="79" t="s">
        <v>38</v>
      </c>
      <c r="AH8" s="79" t="s">
        <v>38</v>
      </c>
      <c r="AI8" s="79" t="s">
        <v>38</v>
      </c>
      <c r="AJ8" s="79" t="s">
        <v>38</v>
      </c>
      <c r="AK8" s="79" t="s">
        <v>38</v>
      </c>
      <c r="AL8" s="79" t="s">
        <v>38</v>
      </c>
      <c r="AM8" s="79" t="s">
        <v>38</v>
      </c>
      <c r="AN8" s="79" t="s">
        <v>38</v>
      </c>
      <c r="AO8" s="79" t="s">
        <v>38</v>
      </c>
      <c r="AP8" s="79" t="s">
        <v>38</v>
      </c>
      <c r="AQ8" s="79" t="s">
        <v>38</v>
      </c>
      <c r="AR8" s="79" t="s">
        <v>38</v>
      </c>
      <c r="AS8" s="79" t="s">
        <v>38</v>
      </c>
      <c r="AT8" s="79" t="s">
        <v>38</v>
      </c>
      <c r="AU8" s="79" t="s">
        <v>38</v>
      </c>
      <c r="AV8" s="79" t="s">
        <v>38</v>
      </c>
      <c r="AW8" s="79" t="s">
        <v>38</v>
      </c>
      <c r="AX8" s="79" t="s">
        <v>38</v>
      </c>
      <c r="AY8" s="79" t="s">
        <v>38</v>
      </c>
      <c r="AZ8" s="79" t="s">
        <v>38</v>
      </c>
      <c r="BA8" s="79" t="s">
        <v>38</v>
      </c>
      <c r="BB8" s="79" t="s">
        <v>38</v>
      </c>
      <c r="BC8" s="79" t="s">
        <v>38</v>
      </c>
      <c r="BD8" s="79" t="s">
        <v>38</v>
      </c>
      <c r="BE8" s="79" t="s">
        <v>38</v>
      </c>
      <c r="BF8" s="79" t="s">
        <v>38</v>
      </c>
      <c r="BG8" s="79" t="s">
        <v>38</v>
      </c>
      <c r="BH8" s="79" t="s">
        <v>38</v>
      </c>
      <c r="BI8" s="79" t="s">
        <v>38</v>
      </c>
      <c r="BJ8" s="79" t="s">
        <v>38</v>
      </c>
      <c r="BK8" s="79" t="s">
        <v>38</v>
      </c>
      <c r="BL8" s="79" t="s">
        <v>38</v>
      </c>
      <c r="BM8" s="79" t="s">
        <v>38</v>
      </c>
      <c r="BN8" s="79" t="s">
        <v>38</v>
      </c>
      <c r="BO8" s="79" t="s">
        <v>38</v>
      </c>
      <c r="BP8" s="79" t="s">
        <v>38</v>
      </c>
      <c r="BQ8" s="79" t="s">
        <v>38</v>
      </c>
      <c r="BR8" s="79" t="s">
        <v>38</v>
      </c>
      <c r="BS8" s="79" t="s">
        <v>38</v>
      </c>
      <c r="BT8" s="79" t="s">
        <v>38</v>
      </c>
      <c r="BU8" s="79" t="s">
        <v>38</v>
      </c>
      <c r="BV8" s="79" t="s">
        <v>38</v>
      </c>
      <c r="BW8" s="79" t="s">
        <v>38</v>
      </c>
      <c r="BX8" s="79" t="s">
        <v>38</v>
      </c>
      <c r="BY8" s="85" t="s">
        <v>38</v>
      </c>
      <c r="BZ8" s="79" t="s">
        <v>38</v>
      </c>
      <c r="CA8" s="90" t="s">
        <v>38</v>
      </c>
    </row>
    <row r="9" spans="1:79">
      <c r="A9" s="64" t="s">
        <v>7</v>
      </c>
      <c r="B9" s="82">
        <v>254480.78639699999</v>
      </c>
      <c r="C9" s="82">
        <v>4505534.9529600004</v>
      </c>
      <c r="D9" s="78" t="s">
        <v>38</v>
      </c>
      <c r="E9" s="79" t="s">
        <v>38</v>
      </c>
      <c r="F9" s="79" t="s">
        <v>38</v>
      </c>
      <c r="G9" s="79" t="s">
        <v>38</v>
      </c>
      <c r="H9" s="79" t="s">
        <v>38</v>
      </c>
      <c r="I9" s="79" t="s">
        <v>38</v>
      </c>
      <c r="J9" s="79" t="s">
        <v>38</v>
      </c>
      <c r="K9" s="79" t="s">
        <v>38</v>
      </c>
      <c r="L9" s="79" t="s">
        <v>38</v>
      </c>
      <c r="M9" s="79" t="s">
        <v>38</v>
      </c>
      <c r="N9" s="79" t="s">
        <v>38</v>
      </c>
      <c r="O9" s="79" t="s">
        <v>38</v>
      </c>
      <c r="P9" s="79" t="s">
        <v>38</v>
      </c>
      <c r="Q9" s="79" t="s">
        <v>38</v>
      </c>
      <c r="R9" s="79" t="s">
        <v>38</v>
      </c>
      <c r="S9" s="79" t="s">
        <v>38</v>
      </c>
      <c r="T9" s="79" t="s">
        <v>38</v>
      </c>
      <c r="U9" s="79" t="s">
        <v>38</v>
      </c>
      <c r="V9" s="79" t="s">
        <v>38</v>
      </c>
      <c r="W9" s="79" t="s">
        <v>38</v>
      </c>
      <c r="X9" s="79" t="s">
        <v>38</v>
      </c>
      <c r="Y9" s="79" t="s">
        <v>38</v>
      </c>
      <c r="Z9" s="79" t="s">
        <v>38</v>
      </c>
      <c r="AA9" s="79" t="s">
        <v>38</v>
      </c>
      <c r="AB9" s="79" t="s">
        <v>38</v>
      </c>
      <c r="AC9" s="79" t="s">
        <v>38</v>
      </c>
      <c r="AD9" s="79" t="s">
        <v>38</v>
      </c>
      <c r="AE9" s="79" t="s">
        <v>38</v>
      </c>
      <c r="AF9" s="79" t="s">
        <v>38</v>
      </c>
      <c r="AG9" s="79" t="s">
        <v>38</v>
      </c>
      <c r="AH9" s="79" t="s">
        <v>38</v>
      </c>
      <c r="AI9" s="79" t="s">
        <v>38</v>
      </c>
      <c r="AJ9" s="79" t="s">
        <v>38</v>
      </c>
      <c r="AK9" s="79" t="s">
        <v>38</v>
      </c>
      <c r="AL9" s="79" t="s">
        <v>38</v>
      </c>
      <c r="AM9" s="79" t="s">
        <v>38</v>
      </c>
      <c r="AN9" s="79" t="s">
        <v>38</v>
      </c>
      <c r="AO9" s="79" t="s">
        <v>38</v>
      </c>
      <c r="AP9" s="79" t="s">
        <v>38</v>
      </c>
      <c r="AQ9" s="79" t="s">
        <v>38</v>
      </c>
      <c r="AR9" s="79" t="s">
        <v>38</v>
      </c>
      <c r="AS9" s="79" t="s">
        <v>38</v>
      </c>
      <c r="AT9" s="79" t="s">
        <v>38</v>
      </c>
      <c r="AU9" s="79" t="s">
        <v>38</v>
      </c>
      <c r="AV9" s="79" t="s">
        <v>38</v>
      </c>
      <c r="AW9" s="79" t="s">
        <v>38</v>
      </c>
      <c r="AX9" s="79" t="s">
        <v>38</v>
      </c>
      <c r="AY9" s="79" t="s">
        <v>38</v>
      </c>
      <c r="AZ9" s="79" t="s">
        <v>38</v>
      </c>
      <c r="BA9" s="79" t="s">
        <v>38</v>
      </c>
      <c r="BB9" s="79" t="s">
        <v>38</v>
      </c>
      <c r="BC9" s="79" t="s">
        <v>38</v>
      </c>
      <c r="BD9" s="79" t="s">
        <v>38</v>
      </c>
      <c r="BE9" s="79" t="s">
        <v>38</v>
      </c>
      <c r="BF9" s="79" t="s">
        <v>38</v>
      </c>
      <c r="BG9" s="79" t="s">
        <v>38</v>
      </c>
      <c r="BH9" s="79" t="s">
        <v>38</v>
      </c>
      <c r="BI9" s="79" t="s">
        <v>38</v>
      </c>
      <c r="BJ9" s="79" t="s">
        <v>38</v>
      </c>
      <c r="BK9" s="79" t="s">
        <v>38</v>
      </c>
      <c r="BL9" s="79" t="s">
        <v>38</v>
      </c>
      <c r="BM9" s="79" t="s">
        <v>38</v>
      </c>
      <c r="BN9" s="79" t="s">
        <v>38</v>
      </c>
      <c r="BO9" s="79" t="s">
        <v>38</v>
      </c>
      <c r="BP9" s="79" t="s">
        <v>38</v>
      </c>
      <c r="BQ9" s="79" t="s">
        <v>38</v>
      </c>
      <c r="BR9" s="79" t="s">
        <v>38</v>
      </c>
      <c r="BS9" s="79" t="s">
        <v>38</v>
      </c>
      <c r="BT9" s="79" t="s">
        <v>38</v>
      </c>
      <c r="BU9" s="79" t="s">
        <v>38</v>
      </c>
      <c r="BV9" s="79" t="s">
        <v>38</v>
      </c>
      <c r="BW9" s="79" t="s">
        <v>38</v>
      </c>
      <c r="BX9" s="79" t="s">
        <v>38</v>
      </c>
      <c r="BY9" s="85" t="s">
        <v>38</v>
      </c>
      <c r="BZ9" s="79" t="s">
        <v>38</v>
      </c>
      <c r="CA9" s="90" t="s">
        <v>38</v>
      </c>
    </row>
    <row r="10" spans="1:79">
      <c r="A10" s="64" t="s">
        <v>8</v>
      </c>
      <c r="B10" s="83">
        <v>254482.79284800001</v>
      </c>
      <c r="C10" s="83">
        <v>4505529.4775599996</v>
      </c>
      <c r="D10" s="78" t="s">
        <v>38</v>
      </c>
      <c r="E10" s="79" t="s">
        <v>38</v>
      </c>
      <c r="F10" s="79" t="s">
        <v>38</v>
      </c>
      <c r="G10" s="79" t="s">
        <v>38</v>
      </c>
      <c r="H10" s="79" t="s">
        <v>38</v>
      </c>
      <c r="I10" s="79" t="s">
        <v>38</v>
      </c>
      <c r="J10" s="79" t="s">
        <v>38</v>
      </c>
      <c r="K10" s="79" t="s">
        <v>38</v>
      </c>
      <c r="L10" s="79" t="s">
        <v>38</v>
      </c>
      <c r="M10" s="79" t="s">
        <v>38</v>
      </c>
      <c r="N10" s="79" t="s">
        <v>38</v>
      </c>
      <c r="O10" s="79" t="s">
        <v>38</v>
      </c>
      <c r="P10" s="79" t="s">
        <v>38</v>
      </c>
      <c r="Q10" s="79" t="s">
        <v>38</v>
      </c>
      <c r="R10" s="79" t="s">
        <v>38</v>
      </c>
      <c r="S10" s="79" t="s">
        <v>38</v>
      </c>
      <c r="T10" s="79" t="s">
        <v>38</v>
      </c>
      <c r="U10" s="79" t="s">
        <v>38</v>
      </c>
      <c r="V10" s="79" t="s">
        <v>38</v>
      </c>
      <c r="W10" s="79" t="s">
        <v>38</v>
      </c>
      <c r="X10" s="79" t="s">
        <v>38</v>
      </c>
      <c r="Y10" s="79" t="s">
        <v>38</v>
      </c>
      <c r="Z10" s="79" t="s">
        <v>38</v>
      </c>
      <c r="AA10" s="79" t="s">
        <v>38</v>
      </c>
      <c r="AB10" s="79" t="s">
        <v>38</v>
      </c>
      <c r="AC10" s="79" t="s">
        <v>38</v>
      </c>
      <c r="AD10" s="79" t="s">
        <v>38</v>
      </c>
      <c r="AE10" s="79" t="s">
        <v>38</v>
      </c>
      <c r="AF10" s="79" t="s">
        <v>38</v>
      </c>
      <c r="AG10" s="79" t="s">
        <v>38</v>
      </c>
      <c r="AH10" s="79" t="s">
        <v>38</v>
      </c>
      <c r="AI10" s="79" t="s">
        <v>38</v>
      </c>
      <c r="AJ10" s="79" t="s">
        <v>38</v>
      </c>
      <c r="AK10" s="79" t="s">
        <v>38</v>
      </c>
      <c r="AL10" s="79" t="s">
        <v>38</v>
      </c>
      <c r="AM10" s="79" t="s">
        <v>38</v>
      </c>
      <c r="AN10" s="79" t="s">
        <v>38</v>
      </c>
      <c r="AO10" s="79" t="s">
        <v>38</v>
      </c>
      <c r="AP10" s="79" t="s">
        <v>38</v>
      </c>
      <c r="AQ10" s="79" t="s">
        <v>38</v>
      </c>
      <c r="AR10" s="79" t="s">
        <v>38</v>
      </c>
      <c r="AS10" s="79" t="s">
        <v>38</v>
      </c>
      <c r="AT10" s="79" t="s">
        <v>38</v>
      </c>
      <c r="AU10" s="79" t="s">
        <v>38</v>
      </c>
      <c r="AV10" s="79" t="s">
        <v>38</v>
      </c>
      <c r="AW10" s="79" t="s">
        <v>38</v>
      </c>
      <c r="AX10" s="79" t="s">
        <v>38</v>
      </c>
      <c r="AY10" s="79" t="s">
        <v>38</v>
      </c>
      <c r="AZ10" s="79" t="s">
        <v>38</v>
      </c>
      <c r="BA10" s="79" t="s">
        <v>38</v>
      </c>
      <c r="BB10" s="79" t="s">
        <v>38</v>
      </c>
      <c r="BC10" s="79" t="s">
        <v>38</v>
      </c>
      <c r="BD10" s="79" t="s">
        <v>38</v>
      </c>
      <c r="BE10" s="79" t="s">
        <v>38</v>
      </c>
      <c r="BF10" s="79" t="s">
        <v>38</v>
      </c>
      <c r="BG10" s="79" t="s">
        <v>38</v>
      </c>
      <c r="BH10" s="79" t="s">
        <v>38</v>
      </c>
      <c r="BI10" s="79" t="s">
        <v>38</v>
      </c>
      <c r="BJ10" s="79" t="s">
        <v>38</v>
      </c>
      <c r="BK10" s="79" t="s">
        <v>38</v>
      </c>
      <c r="BL10" s="79" t="s">
        <v>38</v>
      </c>
      <c r="BM10" s="79" t="s">
        <v>38</v>
      </c>
      <c r="BN10" s="79" t="s">
        <v>38</v>
      </c>
      <c r="BO10" s="79" t="s">
        <v>38</v>
      </c>
      <c r="BP10" s="79" t="s">
        <v>38</v>
      </c>
      <c r="BQ10" s="79" t="s">
        <v>38</v>
      </c>
      <c r="BR10" s="79" t="s">
        <v>38</v>
      </c>
      <c r="BS10" s="79" t="s">
        <v>38</v>
      </c>
      <c r="BT10" s="79" t="s">
        <v>38</v>
      </c>
      <c r="BU10" s="79" t="s">
        <v>38</v>
      </c>
      <c r="BV10" s="79" t="s">
        <v>38</v>
      </c>
      <c r="BW10" s="79" t="s">
        <v>38</v>
      </c>
      <c r="BX10" s="79" t="s">
        <v>38</v>
      </c>
      <c r="BY10" s="85" t="s">
        <v>38</v>
      </c>
      <c r="BZ10" s="79" t="s">
        <v>38</v>
      </c>
      <c r="CA10" s="90" t="s">
        <v>38</v>
      </c>
    </row>
    <row r="11" spans="1:79">
      <c r="A11" s="64" t="s">
        <v>9</v>
      </c>
      <c r="B11" s="83">
        <v>254484.75221499999</v>
      </c>
      <c r="C11" s="83">
        <v>4505526.81066</v>
      </c>
      <c r="D11" s="78" t="s">
        <v>38</v>
      </c>
      <c r="E11" s="79" t="s">
        <v>38</v>
      </c>
      <c r="F11" s="79" t="s">
        <v>38</v>
      </c>
      <c r="G11" s="79" t="s">
        <v>38</v>
      </c>
      <c r="H11" s="79" t="s">
        <v>38</v>
      </c>
      <c r="I11" s="79" t="s">
        <v>38</v>
      </c>
      <c r="J11" s="79" t="s">
        <v>38</v>
      </c>
      <c r="K11" s="79" t="s">
        <v>38</v>
      </c>
      <c r="L11" s="79" t="s">
        <v>38</v>
      </c>
      <c r="M11" s="79" t="s">
        <v>38</v>
      </c>
      <c r="N11" s="79" t="s">
        <v>38</v>
      </c>
      <c r="O11" s="79" t="s">
        <v>38</v>
      </c>
      <c r="P11" s="79" t="s">
        <v>38</v>
      </c>
      <c r="Q11" s="79" t="s">
        <v>38</v>
      </c>
      <c r="R11" s="79" t="s">
        <v>38</v>
      </c>
      <c r="S11" s="79" t="s">
        <v>38</v>
      </c>
      <c r="T11" s="79" t="s">
        <v>38</v>
      </c>
      <c r="U11" s="79" t="s">
        <v>38</v>
      </c>
      <c r="V11" s="79" t="s">
        <v>38</v>
      </c>
      <c r="W11" s="79" t="s">
        <v>38</v>
      </c>
      <c r="X11" s="79" t="s">
        <v>38</v>
      </c>
      <c r="Y11" s="79" t="s">
        <v>38</v>
      </c>
      <c r="Z11" s="79" t="s">
        <v>38</v>
      </c>
      <c r="AA11" s="79" t="s">
        <v>38</v>
      </c>
      <c r="AB11" s="79" t="s">
        <v>38</v>
      </c>
      <c r="AC11" s="79" t="s">
        <v>38</v>
      </c>
      <c r="AD11" s="79" t="s">
        <v>38</v>
      </c>
      <c r="AE11" s="79" t="s">
        <v>38</v>
      </c>
      <c r="AF11" s="79" t="s">
        <v>38</v>
      </c>
      <c r="AG11" s="79" t="s">
        <v>38</v>
      </c>
      <c r="AH11" s="79" t="s">
        <v>38</v>
      </c>
      <c r="AI11" s="79" t="s">
        <v>38</v>
      </c>
      <c r="AJ11" s="79" t="s">
        <v>38</v>
      </c>
      <c r="AK11" s="79" t="s">
        <v>38</v>
      </c>
      <c r="AL11" s="79" t="s">
        <v>38</v>
      </c>
      <c r="AM11" s="79" t="s">
        <v>38</v>
      </c>
      <c r="AN11" s="79" t="s">
        <v>38</v>
      </c>
      <c r="AO11" s="79" t="s">
        <v>38</v>
      </c>
      <c r="AP11" s="79" t="s">
        <v>38</v>
      </c>
      <c r="AQ11" s="79" t="s">
        <v>38</v>
      </c>
      <c r="AR11" s="79" t="s">
        <v>38</v>
      </c>
      <c r="AS11" s="79" t="s">
        <v>38</v>
      </c>
      <c r="AT11" s="79" t="s">
        <v>38</v>
      </c>
      <c r="AU11" s="79" t="s">
        <v>38</v>
      </c>
      <c r="AV11" s="79" t="s">
        <v>38</v>
      </c>
      <c r="AW11" s="79" t="s">
        <v>38</v>
      </c>
      <c r="AX11" s="79" t="s">
        <v>38</v>
      </c>
      <c r="AY11" s="79" t="s">
        <v>38</v>
      </c>
      <c r="AZ11" s="79" t="s">
        <v>38</v>
      </c>
      <c r="BA11" s="79" t="s">
        <v>38</v>
      </c>
      <c r="BB11" s="79" t="s">
        <v>38</v>
      </c>
      <c r="BC11" s="79" t="s">
        <v>38</v>
      </c>
      <c r="BD11" s="79" t="s">
        <v>38</v>
      </c>
      <c r="BE11" s="79" t="s">
        <v>38</v>
      </c>
      <c r="BF11" s="79" t="s">
        <v>38</v>
      </c>
      <c r="BG11" s="79" t="s">
        <v>38</v>
      </c>
      <c r="BH11" s="79" t="s">
        <v>38</v>
      </c>
      <c r="BI11" s="79" t="s">
        <v>38</v>
      </c>
      <c r="BJ11" s="79" t="s">
        <v>38</v>
      </c>
      <c r="BK11" s="79" t="s">
        <v>38</v>
      </c>
      <c r="BL11" s="79" t="s">
        <v>38</v>
      </c>
      <c r="BM11" s="79" t="s">
        <v>38</v>
      </c>
      <c r="BN11" s="79" t="s">
        <v>38</v>
      </c>
      <c r="BO11" s="79" t="s">
        <v>38</v>
      </c>
      <c r="BP11" s="79" t="s">
        <v>38</v>
      </c>
      <c r="BQ11" s="79" t="s">
        <v>38</v>
      </c>
      <c r="BR11" s="79" t="s">
        <v>38</v>
      </c>
      <c r="BS11" s="79" t="s">
        <v>38</v>
      </c>
      <c r="BT11" s="79" t="s">
        <v>38</v>
      </c>
      <c r="BU11" s="79" t="s">
        <v>38</v>
      </c>
      <c r="BV11" s="79" t="s">
        <v>38</v>
      </c>
      <c r="BW11" s="79" t="s">
        <v>38</v>
      </c>
      <c r="BX11" s="79" t="s">
        <v>38</v>
      </c>
      <c r="BY11" s="85" t="s">
        <v>38</v>
      </c>
      <c r="BZ11" s="79" t="s">
        <v>38</v>
      </c>
      <c r="CA11" s="90" t="s">
        <v>38</v>
      </c>
    </row>
    <row r="12" spans="1:79">
      <c r="A12" s="64">
        <v>1</v>
      </c>
      <c r="B12" s="83">
        <v>254273.42219000001</v>
      </c>
      <c r="C12" s="83">
        <v>4505589.5737600001</v>
      </c>
      <c r="D12" s="78" t="s">
        <v>38</v>
      </c>
      <c r="E12" s="79" t="s">
        <v>38</v>
      </c>
      <c r="F12" s="79" t="s">
        <v>38</v>
      </c>
      <c r="G12" s="79" t="s">
        <v>38</v>
      </c>
      <c r="H12" s="79" t="s">
        <v>38</v>
      </c>
      <c r="I12" s="79" t="s">
        <v>38</v>
      </c>
      <c r="J12" s="79" t="s">
        <v>38</v>
      </c>
      <c r="K12" s="79" t="s">
        <v>38</v>
      </c>
      <c r="L12" s="79" t="s">
        <v>38</v>
      </c>
      <c r="M12" s="79" t="s">
        <v>38</v>
      </c>
      <c r="N12" s="79" t="s">
        <v>38</v>
      </c>
      <c r="O12" s="79" t="s">
        <v>38</v>
      </c>
      <c r="P12" s="79" t="s">
        <v>38</v>
      </c>
      <c r="Q12" s="79" t="s">
        <v>38</v>
      </c>
      <c r="R12" s="79" t="s">
        <v>38</v>
      </c>
      <c r="S12" s="79" t="s">
        <v>38</v>
      </c>
      <c r="T12" s="79" t="s">
        <v>38</v>
      </c>
      <c r="U12" s="79" t="s">
        <v>38</v>
      </c>
      <c r="V12" s="79" t="s">
        <v>38</v>
      </c>
      <c r="W12" s="79" t="s">
        <v>38</v>
      </c>
      <c r="X12" s="79" t="s">
        <v>38</v>
      </c>
      <c r="Y12" s="79" t="s">
        <v>38</v>
      </c>
      <c r="Z12" s="79" t="s">
        <v>38</v>
      </c>
      <c r="AA12" s="79" t="s">
        <v>38</v>
      </c>
      <c r="AB12" s="79" t="s">
        <v>38</v>
      </c>
      <c r="AC12" s="79" t="s">
        <v>38</v>
      </c>
      <c r="AD12" s="79" t="s">
        <v>38</v>
      </c>
      <c r="AE12" s="79" t="s">
        <v>38</v>
      </c>
      <c r="AF12" s="79" t="s">
        <v>38</v>
      </c>
      <c r="AG12" s="79" t="s">
        <v>38</v>
      </c>
      <c r="AH12" s="79" t="s">
        <v>38</v>
      </c>
      <c r="AI12" s="79" t="s">
        <v>38</v>
      </c>
      <c r="AJ12" s="79" t="s">
        <v>38</v>
      </c>
      <c r="AK12" s="79" t="s">
        <v>38</v>
      </c>
      <c r="AL12" s="79" t="s">
        <v>38</v>
      </c>
      <c r="AM12" s="79" t="s">
        <v>38</v>
      </c>
      <c r="AN12" s="79" t="s">
        <v>38</v>
      </c>
      <c r="AO12" s="79" t="s">
        <v>38</v>
      </c>
      <c r="AP12" s="79" t="s">
        <v>38</v>
      </c>
      <c r="AQ12" s="79" t="s">
        <v>38</v>
      </c>
      <c r="AR12" s="79" t="s">
        <v>38</v>
      </c>
      <c r="AS12" s="79" t="s">
        <v>38</v>
      </c>
      <c r="AT12" s="79" t="s">
        <v>38</v>
      </c>
      <c r="AU12" s="79" t="s">
        <v>38</v>
      </c>
      <c r="AV12" s="79" t="s">
        <v>38</v>
      </c>
      <c r="AW12" s="79" t="s">
        <v>38</v>
      </c>
      <c r="AX12" s="79" t="s">
        <v>38</v>
      </c>
      <c r="AY12" s="79" t="s">
        <v>38</v>
      </c>
      <c r="AZ12" s="79" t="s">
        <v>38</v>
      </c>
      <c r="BA12" s="79" t="s">
        <v>38</v>
      </c>
      <c r="BB12" s="79" t="s">
        <v>38</v>
      </c>
      <c r="BC12" s="79" t="s">
        <v>38</v>
      </c>
      <c r="BD12" s="79" t="s">
        <v>38</v>
      </c>
      <c r="BE12" s="79" t="s">
        <v>38</v>
      </c>
      <c r="BF12" s="79" t="s">
        <v>38</v>
      </c>
      <c r="BG12" s="79" t="s">
        <v>38</v>
      </c>
      <c r="BH12" s="79" t="s">
        <v>38</v>
      </c>
      <c r="BI12" s="79" t="s">
        <v>38</v>
      </c>
      <c r="BJ12" s="79" t="s">
        <v>38</v>
      </c>
      <c r="BK12" s="79" t="s">
        <v>38</v>
      </c>
      <c r="BL12" s="79" t="s">
        <v>38</v>
      </c>
      <c r="BM12" s="79" t="s">
        <v>38</v>
      </c>
      <c r="BN12" s="79" t="s">
        <v>38</v>
      </c>
      <c r="BO12" s="79" t="s">
        <v>38</v>
      </c>
      <c r="BP12" s="79" t="s">
        <v>38</v>
      </c>
      <c r="BQ12" s="79" t="s">
        <v>38</v>
      </c>
      <c r="BR12" s="79" t="s">
        <v>38</v>
      </c>
      <c r="BS12" s="79" t="s">
        <v>38</v>
      </c>
      <c r="BT12" s="79" t="s">
        <v>38</v>
      </c>
      <c r="BU12" s="79" t="s">
        <v>38</v>
      </c>
      <c r="BV12" s="79" t="s">
        <v>38</v>
      </c>
      <c r="BW12" s="79" t="s">
        <v>38</v>
      </c>
      <c r="BX12" s="79" t="s">
        <v>38</v>
      </c>
      <c r="BY12" s="85" t="s">
        <v>38</v>
      </c>
      <c r="BZ12" s="79" t="s">
        <v>38</v>
      </c>
      <c r="CA12" s="90" t="s">
        <v>38</v>
      </c>
    </row>
    <row r="13" spans="1:79">
      <c r="A13" s="64">
        <v>2</v>
      </c>
      <c r="B13" s="83">
        <v>254268.40893599999</v>
      </c>
      <c r="C13" s="83">
        <v>4505552.5855400003</v>
      </c>
      <c r="D13" s="78" t="s">
        <v>38</v>
      </c>
      <c r="E13" s="79" t="s">
        <v>38</v>
      </c>
      <c r="F13" s="79" t="s">
        <v>38</v>
      </c>
      <c r="G13" s="79" t="s">
        <v>38</v>
      </c>
      <c r="H13" s="79" t="s">
        <v>38</v>
      </c>
      <c r="I13" s="79" t="s">
        <v>38</v>
      </c>
      <c r="J13" s="79" t="s">
        <v>38</v>
      </c>
      <c r="K13" s="79" t="s">
        <v>38</v>
      </c>
      <c r="L13" s="79" t="s">
        <v>38</v>
      </c>
      <c r="M13" s="79" t="s">
        <v>38</v>
      </c>
      <c r="N13" s="79" t="s">
        <v>38</v>
      </c>
      <c r="O13" s="79" t="s">
        <v>38</v>
      </c>
      <c r="P13" s="79" t="s">
        <v>38</v>
      </c>
      <c r="Q13" s="79" t="s">
        <v>38</v>
      </c>
      <c r="R13" s="79" t="s">
        <v>38</v>
      </c>
      <c r="S13" s="79" t="s">
        <v>38</v>
      </c>
      <c r="T13" s="79" t="s">
        <v>38</v>
      </c>
      <c r="U13" s="79" t="s">
        <v>38</v>
      </c>
      <c r="V13" s="79" t="s">
        <v>38</v>
      </c>
      <c r="W13" s="79" t="s">
        <v>38</v>
      </c>
      <c r="X13" s="79" t="s">
        <v>38</v>
      </c>
      <c r="Y13" s="79" t="s">
        <v>38</v>
      </c>
      <c r="Z13" s="79" t="s">
        <v>38</v>
      </c>
      <c r="AA13" s="79" t="s">
        <v>38</v>
      </c>
      <c r="AB13" s="79" t="s">
        <v>38</v>
      </c>
      <c r="AC13" s="79" t="s">
        <v>38</v>
      </c>
      <c r="AD13" s="79" t="s">
        <v>38</v>
      </c>
      <c r="AE13" s="79" t="s">
        <v>38</v>
      </c>
      <c r="AF13" s="79" t="s">
        <v>38</v>
      </c>
      <c r="AG13" s="79" t="s">
        <v>38</v>
      </c>
      <c r="AH13" s="79" t="s">
        <v>38</v>
      </c>
      <c r="AI13" s="79" t="s">
        <v>38</v>
      </c>
      <c r="AJ13" s="79" t="s">
        <v>38</v>
      </c>
      <c r="AK13" s="79" t="s">
        <v>38</v>
      </c>
      <c r="AL13" s="79" t="s">
        <v>38</v>
      </c>
      <c r="AM13" s="79" t="s">
        <v>38</v>
      </c>
      <c r="AN13" s="79" t="s">
        <v>38</v>
      </c>
      <c r="AO13" s="79" t="s">
        <v>38</v>
      </c>
      <c r="AP13" s="79" t="s">
        <v>38</v>
      </c>
      <c r="AQ13" s="79" t="s">
        <v>38</v>
      </c>
      <c r="AR13" s="79" t="s">
        <v>38</v>
      </c>
      <c r="AS13" s="79" t="s">
        <v>38</v>
      </c>
      <c r="AT13" s="79" t="s">
        <v>38</v>
      </c>
      <c r="AU13" s="79" t="s">
        <v>38</v>
      </c>
      <c r="AV13" s="79" t="s">
        <v>38</v>
      </c>
      <c r="AW13" s="79" t="s">
        <v>38</v>
      </c>
      <c r="AX13" s="79" t="s">
        <v>38</v>
      </c>
      <c r="AY13" s="79" t="s">
        <v>38</v>
      </c>
      <c r="AZ13" s="79" t="s">
        <v>38</v>
      </c>
      <c r="BA13" s="79" t="s">
        <v>38</v>
      </c>
      <c r="BB13" s="79" t="s">
        <v>38</v>
      </c>
      <c r="BC13" s="79" t="s">
        <v>38</v>
      </c>
      <c r="BD13" s="79" t="s">
        <v>38</v>
      </c>
      <c r="BE13" s="79" t="s">
        <v>38</v>
      </c>
      <c r="BF13" s="79" t="s">
        <v>38</v>
      </c>
      <c r="BG13" s="79" t="s">
        <v>38</v>
      </c>
      <c r="BH13" s="79" t="s">
        <v>38</v>
      </c>
      <c r="BI13" s="79" t="s">
        <v>38</v>
      </c>
      <c r="BJ13" s="79" t="s">
        <v>38</v>
      </c>
      <c r="BK13" s="79" t="s">
        <v>38</v>
      </c>
      <c r="BL13" s="79" t="s">
        <v>38</v>
      </c>
      <c r="BM13" s="79" t="s">
        <v>38</v>
      </c>
      <c r="BN13" s="79" t="s">
        <v>38</v>
      </c>
      <c r="BO13" s="79" t="s">
        <v>38</v>
      </c>
      <c r="BP13" s="79" t="s">
        <v>38</v>
      </c>
      <c r="BQ13" s="79" t="s">
        <v>38</v>
      </c>
      <c r="BR13" s="79" t="s">
        <v>38</v>
      </c>
      <c r="BS13" s="79" t="s">
        <v>38</v>
      </c>
      <c r="BT13" s="79" t="s">
        <v>38</v>
      </c>
      <c r="BU13" s="79" t="s">
        <v>38</v>
      </c>
      <c r="BV13" s="79" t="s">
        <v>38</v>
      </c>
      <c r="BW13" s="79" t="s">
        <v>38</v>
      </c>
      <c r="BX13" s="79" t="s">
        <v>38</v>
      </c>
      <c r="BY13" s="85" t="s">
        <v>38</v>
      </c>
      <c r="BZ13" s="79" t="s">
        <v>38</v>
      </c>
      <c r="CA13" s="90" t="s">
        <v>38</v>
      </c>
    </row>
    <row r="14" spans="1:79">
      <c r="A14" s="64">
        <v>3</v>
      </c>
      <c r="B14" s="83">
        <v>254274.76034199999</v>
      </c>
      <c r="C14" s="83">
        <v>4505519.1361699998</v>
      </c>
      <c r="D14" s="78" t="s">
        <v>38</v>
      </c>
      <c r="E14" s="79" t="s">
        <v>38</v>
      </c>
      <c r="F14" s="79" t="s">
        <v>38</v>
      </c>
      <c r="G14" s="79" t="s">
        <v>38</v>
      </c>
      <c r="H14" s="79" t="s">
        <v>38</v>
      </c>
      <c r="I14" s="79" t="s">
        <v>38</v>
      </c>
      <c r="J14" s="79" t="s">
        <v>38</v>
      </c>
      <c r="K14" s="79" t="s">
        <v>38</v>
      </c>
      <c r="L14" s="79" t="s">
        <v>38</v>
      </c>
      <c r="M14" s="79" t="s">
        <v>38</v>
      </c>
      <c r="N14" s="79" t="s">
        <v>38</v>
      </c>
      <c r="O14" s="79" t="s">
        <v>38</v>
      </c>
      <c r="P14" s="79" t="s">
        <v>38</v>
      </c>
      <c r="Q14" s="79" t="s">
        <v>38</v>
      </c>
      <c r="R14" s="79" t="s">
        <v>38</v>
      </c>
      <c r="S14" s="79" t="s">
        <v>38</v>
      </c>
      <c r="T14" s="79" t="s">
        <v>38</v>
      </c>
      <c r="U14" s="79" t="s">
        <v>38</v>
      </c>
      <c r="V14" s="79" t="s">
        <v>38</v>
      </c>
      <c r="W14" s="79" t="s">
        <v>38</v>
      </c>
      <c r="X14" s="79" t="s">
        <v>38</v>
      </c>
      <c r="Y14" s="79" t="s">
        <v>38</v>
      </c>
      <c r="Z14" s="79" t="s">
        <v>38</v>
      </c>
      <c r="AA14" s="79" t="s">
        <v>38</v>
      </c>
      <c r="AB14" s="79" t="s">
        <v>38</v>
      </c>
      <c r="AC14" s="79" t="s">
        <v>38</v>
      </c>
      <c r="AD14" s="79" t="s">
        <v>38</v>
      </c>
      <c r="AE14" s="79" t="s">
        <v>38</v>
      </c>
      <c r="AF14" s="79" t="s">
        <v>38</v>
      </c>
      <c r="AG14" s="79" t="s">
        <v>38</v>
      </c>
      <c r="AH14" s="79" t="s">
        <v>38</v>
      </c>
      <c r="AI14" s="79" t="s">
        <v>38</v>
      </c>
      <c r="AJ14" s="79" t="s">
        <v>38</v>
      </c>
      <c r="AK14" s="79" t="s">
        <v>38</v>
      </c>
      <c r="AL14" s="79" t="s">
        <v>38</v>
      </c>
      <c r="AM14" s="79" t="s">
        <v>38</v>
      </c>
      <c r="AN14" s="79" t="s">
        <v>38</v>
      </c>
      <c r="AO14" s="79" t="s">
        <v>38</v>
      </c>
      <c r="AP14" s="79" t="s">
        <v>38</v>
      </c>
      <c r="AQ14" s="79" t="s">
        <v>38</v>
      </c>
      <c r="AR14" s="79" t="s">
        <v>38</v>
      </c>
      <c r="AS14" s="79" t="s">
        <v>38</v>
      </c>
      <c r="AT14" s="79" t="s">
        <v>38</v>
      </c>
      <c r="AU14" s="79" t="s">
        <v>38</v>
      </c>
      <c r="AV14" s="79" t="s">
        <v>38</v>
      </c>
      <c r="AW14" s="79" t="s">
        <v>38</v>
      </c>
      <c r="AX14" s="79" t="s">
        <v>38</v>
      </c>
      <c r="AY14" s="79" t="s">
        <v>38</v>
      </c>
      <c r="AZ14" s="79" t="s">
        <v>38</v>
      </c>
      <c r="BA14" s="79" t="s">
        <v>38</v>
      </c>
      <c r="BB14" s="79" t="s">
        <v>38</v>
      </c>
      <c r="BC14" s="79" t="s">
        <v>38</v>
      </c>
      <c r="BD14" s="79" t="s">
        <v>38</v>
      </c>
      <c r="BE14" s="79" t="s">
        <v>38</v>
      </c>
      <c r="BF14" s="79" t="s">
        <v>38</v>
      </c>
      <c r="BG14" s="79" t="s">
        <v>38</v>
      </c>
      <c r="BH14" s="79" t="s">
        <v>38</v>
      </c>
      <c r="BI14" s="79" t="s">
        <v>38</v>
      </c>
      <c r="BJ14" s="79" t="s">
        <v>38</v>
      </c>
      <c r="BK14" s="79" t="s">
        <v>38</v>
      </c>
      <c r="BL14" s="79" t="s">
        <v>38</v>
      </c>
      <c r="BM14" s="79" t="s">
        <v>38</v>
      </c>
      <c r="BN14" s="79" t="s">
        <v>38</v>
      </c>
      <c r="BO14" s="79" t="s">
        <v>38</v>
      </c>
      <c r="BP14" s="79" t="s">
        <v>38</v>
      </c>
      <c r="BQ14" s="79" t="s">
        <v>38</v>
      </c>
      <c r="BR14" s="79" t="s">
        <v>38</v>
      </c>
      <c r="BS14" s="79" t="s">
        <v>38</v>
      </c>
      <c r="BT14" s="79" t="s">
        <v>38</v>
      </c>
      <c r="BU14" s="79" t="s">
        <v>38</v>
      </c>
      <c r="BV14" s="79" t="s">
        <v>38</v>
      </c>
      <c r="BW14" s="79" t="s">
        <v>38</v>
      </c>
      <c r="BX14" s="79" t="s">
        <v>38</v>
      </c>
      <c r="BY14" s="85" t="s">
        <v>38</v>
      </c>
      <c r="BZ14" s="79" t="s">
        <v>38</v>
      </c>
      <c r="CA14" s="90" t="s">
        <v>38</v>
      </c>
    </row>
    <row r="15" spans="1:79">
      <c r="A15" s="64">
        <v>4</v>
      </c>
      <c r="B15" s="83">
        <v>254256.98182799999</v>
      </c>
      <c r="C15" s="83">
        <v>4505565.69778</v>
      </c>
      <c r="D15" s="78" t="s">
        <v>38</v>
      </c>
      <c r="E15" s="79" t="s">
        <v>38</v>
      </c>
      <c r="F15" s="79" t="s">
        <v>38</v>
      </c>
      <c r="G15" s="79" t="s">
        <v>38</v>
      </c>
      <c r="H15" s="79" t="s">
        <v>38</v>
      </c>
      <c r="I15" s="79" t="s">
        <v>38</v>
      </c>
      <c r="J15" s="79" t="s">
        <v>38</v>
      </c>
      <c r="K15" s="79" t="s">
        <v>38</v>
      </c>
      <c r="L15" s="79" t="s">
        <v>38</v>
      </c>
      <c r="M15" s="79" t="s">
        <v>38</v>
      </c>
      <c r="N15" s="79" t="s">
        <v>38</v>
      </c>
      <c r="O15" s="79" t="s">
        <v>38</v>
      </c>
      <c r="P15" s="79" t="s">
        <v>38</v>
      </c>
      <c r="Q15" s="79" t="s">
        <v>38</v>
      </c>
      <c r="R15" s="79" t="s">
        <v>38</v>
      </c>
      <c r="S15" s="79" t="s">
        <v>38</v>
      </c>
      <c r="T15" s="79" t="s">
        <v>38</v>
      </c>
      <c r="U15" s="79" t="s">
        <v>38</v>
      </c>
      <c r="V15" s="79" t="s">
        <v>38</v>
      </c>
      <c r="W15" s="79" t="s">
        <v>38</v>
      </c>
      <c r="X15" s="79" t="s">
        <v>38</v>
      </c>
      <c r="Y15" s="79" t="s">
        <v>38</v>
      </c>
      <c r="Z15" s="79" t="s">
        <v>38</v>
      </c>
      <c r="AA15" s="79" t="s">
        <v>38</v>
      </c>
      <c r="AB15" s="79" t="s">
        <v>38</v>
      </c>
      <c r="AC15" s="79" t="s">
        <v>38</v>
      </c>
      <c r="AD15" s="79" t="s">
        <v>38</v>
      </c>
      <c r="AE15" s="79" t="s">
        <v>38</v>
      </c>
      <c r="AF15" s="79" t="s">
        <v>38</v>
      </c>
      <c r="AG15" s="79" t="s">
        <v>38</v>
      </c>
      <c r="AH15" s="79" t="s">
        <v>38</v>
      </c>
      <c r="AI15" s="79" t="s">
        <v>38</v>
      </c>
      <c r="AJ15" s="79" t="s">
        <v>38</v>
      </c>
      <c r="AK15" s="79" t="s">
        <v>38</v>
      </c>
      <c r="AL15" s="79" t="s">
        <v>38</v>
      </c>
      <c r="AM15" s="79" t="s">
        <v>38</v>
      </c>
      <c r="AN15" s="79" t="s">
        <v>38</v>
      </c>
      <c r="AO15" s="79" t="s">
        <v>38</v>
      </c>
      <c r="AP15" s="79" t="s">
        <v>38</v>
      </c>
      <c r="AQ15" s="79" t="s">
        <v>38</v>
      </c>
      <c r="AR15" s="79" t="s">
        <v>38</v>
      </c>
      <c r="AS15" s="79" t="s">
        <v>38</v>
      </c>
      <c r="AT15" s="79" t="s">
        <v>38</v>
      </c>
      <c r="AU15" s="79" t="s">
        <v>38</v>
      </c>
      <c r="AV15" s="79" t="s">
        <v>38</v>
      </c>
      <c r="AW15" s="79" t="s">
        <v>38</v>
      </c>
      <c r="AX15" s="79" t="s">
        <v>38</v>
      </c>
      <c r="AY15" s="79" t="s">
        <v>38</v>
      </c>
      <c r="AZ15" s="79" t="s">
        <v>38</v>
      </c>
      <c r="BA15" s="79" t="s">
        <v>38</v>
      </c>
      <c r="BB15" s="79" t="s">
        <v>38</v>
      </c>
      <c r="BC15" s="79" t="s">
        <v>38</v>
      </c>
      <c r="BD15" s="79" t="s">
        <v>38</v>
      </c>
      <c r="BE15" s="79" t="s">
        <v>38</v>
      </c>
      <c r="BF15" s="79" t="s">
        <v>38</v>
      </c>
      <c r="BG15" s="79" t="s">
        <v>38</v>
      </c>
      <c r="BH15" s="79" t="s">
        <v>38</v>
      </c>
      <c r="BI15" s="79" t="s">
        <v>38</v>
      </c>
      <c r="BJ15" s="79" t="s">
        <v>38</v>
      </c>
      <c r="BK15" s="79" t="s">
        <v>38</v>
      </c>
      <c r="BL15" s="79" t="s">
        <v>38</v>
      </c>
      <c r="BM15" s="79" t="s">
        <v>38</v>
      </c>
      <c r="BN15" s="79" t="s">
        <v>38</v>
      </c>
      <c r="BO15" s="79" t="s">
        <v>38</v>
      </c>
      <c r="BP15" s="79" t="s">
        <v>38</v>
      </c>
      <c r="BQ15" s="79" t="s">
        <v>38</v>
      </c>
      <c r="BR15" s="79" t="s">
        <v>38</v>
      </c>
      <c r="BS15" s="79" t="s">
        <v>38</v>
      </c>
      <c r="BT15" s="79" t="s">
        <v>38</v>
      </c>
      <c r="BU15" s="79" t="s">
        <v>38</v>
      </c>
      <c r="BV15" s="79" t="s">
        <v>38</v>
      </c>
      <c r="BW15" s="79" t="s">
        <v>38</v>
      </c>
      <c r="BX15" s="79" t="s">
        <v>38</v>
      </c>
      <c r="BY15" s="85" t="s">
        <v>38</v>
      </c>
      <c r="BZ15" s="79" t="s">
        <v>38</v>
      </c>
      <c r="CA15" s="90" t="s">
        <v>38</v>
      </c>
    </row>
    <row r="16" spans="1:79">
      <c r="A16" s="64">
        <v>5</v>
      </c>
      <c r="B16" s="83">
        <v>254279.200835</v>
      </c>
      <c r="C16" s="83">
        <v>4505539.2380799996</v>
      </c>
      <c r="D16" s="78" t="s">
        <v>38</v>
      </c>
      <c r="E16" s="79" t="s">
        <v>38</v>
      </c>
      <c r="F16" s="79" t="s">
        <v>38</v>
      </c>
      <c r="G16" s="79" t="s">
        <v>38</v>
      </c>
      <c r="H16" s="79" t="s">
        <v>38</v>
      </c>
      <c r="I16" s="79" t="s">
        <v>38</v>
      </c>
      <c r="J16" s="79" t="s">
        <v>38</v>
      </c>
      <c r="K16" s="79" t="s">
        <v>38</v>
      </c>
      <c r="L16" s="79" t="s">
        <v>38</v>
      </c>
      <c r="M16" s="79" t="s">
        <v>38</v>
      </c>
      <c r="N16" s="79" t="s">
        <v>38</v>
      </c>
      <c r="O16" s="79" t="s">
        <v>38</v>
      </c>
      <c r="P16" s="79" t="s">
        <v>38</v>
      </c>
      <c r="Q16" s="79" t="s">
        <v>38</v>
      </c>
      <c r="R16" s="79" t="s">
        <v>38</v>
      </c>
      <c r="S16" s="79" t="s">
        <v>38</v>
      </c>
      <c r="T16" s="79" t="s">
        <v>38</v>
      </c>
      <c r="U16" s="79" t="s">
        <v>38</v>
      </c>
      <c r="V16" s="79" t="s">
        <v>38</v>
      </c>
      <c r="W16" s="79" t="s">
        <v>38</v>
      </c>
      <c r="X16" s="79" t="s">
        <v>38</v>
      </c>
      <c r="Y16" s="79" t="s">
        <v>38</v>
      </c>
      <c r="Z16" s="79" t="s">
        <v>38</v>
      </c>
      <c r="AA16" s="79" t="s">
        <v>38</v>
      </c>
      <c r="AB16" s="79" t="s">
        <v>38</v>
      </c>
      <c r="AC16" s="79" t="s">
        <v>38</v>
      </c>
      <c r="AD16" s="79" t="s">
        <v>38</v>
      </c>
      <c r="AE16" s="79" t="s">
        <v>38</v>
      </c>
      <c r="AF16" s="79" t="s">
        <v>38</v>
      </c>
      <c r="AG16" s="79" t="s">
        <v>38</v>
      </c>
      <c r="AH16" s="79" t="s">
        <v>38</v>
      </c>
      <c r="AI16" s="79" t="s">
        <v>38</v>
      </c>
      <c r="AJ16" s="79" t="s">
        <v>38</v>
      </c>
      <c r="AK16" s="79" t="s">
        <v>38</v>
      </c>
      <c r="AL16" s="79" t="s">
        <v>38</v>
      </c>
      <c r="AM16" s="79" t="s">
        <v>38</v>
      </c>
      <c r="AN16" s="79" t="s">
        <v>38</v>
      </c>
      <c r="AO16" s="79" t="s">
        <v>38</v>
      </c>
      <c r="AP16" s="79" t="s">
        <v>38</v>
      </c>
      <c r="AQ16" s="79" t="s">
        <v>38</v>
      </c>
      <c r="AR16" s="79" t="s">
        <v>38</v>
      </c>
      <c r="AS16" s="79" t="s">
        <v>38</v>
      </c>
      <c r="AT16" s="79" t="s">
        <v>38</v>
      </c>
      <c r="AU16" s="79" t="s">
        <v>38</v>
      </c>
      <c r="AV16" s="79" t="s">
        <v>38</v>
      </c>
      <c r="AW16" s="79" t="s">
        <v>38</v>
      </c>
      <c r="AX16" s="79" t="s">
        <v>38</v>
      </c>
      <c r="AY16" s="79" t="s">
        <v>38</v>
      </c>
      <c r="AZ16" s="79" t="s">
        <v>38</v>
      </c>
      <c r="BA16" s="79" t="s">
        <v>38</v>
      </c>
      <c r="BB16" s="79" t="s">
        <v>38</v>
      </c>
      <c r="BC16" s="79" t="s">
        <v>38</v>
      </c>
      <c r="BD16" s="79" t="s">
        <v>38</v>
      </c>
      <c r="BE16" s="79" t="s">
        <v>38</v>
      </c>
      <c r="BF16" s="79" t="s">
        <v>38</v>
      </c>
      <c r="BG16" s="79" t="s">
        <v>38</v>
      </c>
      <c r="BH16" s="79" t="s">
        <v>38</v>
      </c>
      <c r="BI16" s="79" t="s">
        <v>38</v>
      </c>
      <c r="BJ16" s="79" t="s">
        <v>38</v>
      </c>
      <c r="BK16" s="79" t="s">
        <v>38</v>
      </c>
      <c r="BL16" s="79" t="s">
        <v>38</v>
      </c>
      <c r="BM16" s="79" t="s">
        <v>38</v>
      </c>
      <c r="BN16" s="79" t="s">
        <v>38</v>
      </c>
      <c r="BO16" s="79" t="s">
        <v>38</v>
      </c>
      <c r="BP16" s="79" t="s">
        <v>38</v>
      </c>
      <c r="BQ16" s="79" t="s">
        <v>38</v>
      </c>
      <c r="BR16" s="79" t="s">
        <v>38</v>
      </c>
      <c r="BS16" s="79" t="s">
        <v>38</v>
      </c>
      <c r="BT16" s="79" t="s">
        <v>38</v>
      </c>
      <c r="BU16" s="79" t="s">
        <v>38</v>
      </c>
      <c r="BV16" s="79" t="s">
        <v>38</v>
      </c>
      <c r="BW16" s="79" t="s">
        <v>38</v>
      </c>
      <c r="BX16" s="79" t="s">
        <v>38</v>
      </c>
      <c r="BY16" s="85" t="s">
        <v>38</v>
      </c>
      <c r="BZ16" s="79" t="s">
        <v>38</v>
      </c>
      <c r="CA16" s="90" t="s">
        <v>38</v>
      </c>
    </row>
    <row r="17" spans="1:79">
      <c r="A17" s="64">
        <v>6</v>
      </c>
      <c r="B17" s="82">
        <v>254321.19506200001</v>
      </c>
      <c r="C17" s="82">
        <v>4505578.1072300002</v>
      </c>
      <c r="D17" s="78" t="s">
        <v>38</v>
      </c>
      <c r="E17" s="79">
        <v>0.35649999999999998</v>
      </c>
      <c r="F17" s="79">
        <v>0.3745</v>
      </c>
      <c r="G17" s="79">
        <v>0.36049999999999999</v>
      </c>
      <c r="H17" s="79" t="s">
        <v>38</v>
      </c>
      <c r="I17" s="79">
        <v>0.35449999999999998</v>
      </c>
      <c r="J17" s="79">
        <v>0.33100000000000002</v>
      </c>
      <c r="K17" s="79">
        <v>0.34050000000000002</v>
      </c>
      <c r="L17" s="79">
        <v>0.34399999999999997</v>
      </c>
      <c r="M17" s="79">
        <v>0.28849999999999998</v>
      </c>
      <c r="N17" s="67">
        <v>0.29349999999999998</v>
      </c>
      <c r="O17" s="67">
        <v>0.27250000000000002</v>
      </c>
      <c r="P17" s="67">
        <v>0.26550000000000001</v>
      </c>
      <c r="Q17" s="67">
        <v>0.307</v>
      </c>
      <c r="R17" s="67">
        <v>0.374</v>
      </c>
      <c r="S17" s="67">
        <v>0.38650000000000001</v>
      </c>
      <c r="T17" s="51">
        <v>0.50900000000000001</v>
      </c>
      <c r="U17" s="51">
        <v>0.47899999999999998</v>
      </c>
      <c r="V17" s="51">
        <v>0.49199999999999999</v>
      </c>
      <c r="W17" s="51">
        <v>0.51800000000000002</v>
      </c>
      <c r="X17" s="51">
        <v>0.55400000000000005</v>
      </c>
      <c r="Y17" s="51">
        <v>0.51800000000000002</v>
      </c>
      <c r="Z17" s="51">
        <v>0.52500000000000002</v>
      </c>
      <c r="AA17" s="51">
        <v>0.504</v>
      </c>
      <c r="AB17" s="51">
        <v>0.48399999999999999</v>
      </c>
      <c r="AC17" s="51" t="s">
        <v>38</v>
      </c>
      <c r="AD17" s="51">
        <v>0.54</v>
      </c>
      <c r="AE17" s="51">
        <v>0.48199999999999998</v>
      </c>
      <c r="AF17" s="51">
        <v>0.434</v>
      </c>
      <c r="AG17" s="51">
        <v>0.42899999999999999</v>
      </c>
      <c r="AH17" s="51">
        <v>0.434</v>
      </c>
      <c r="AI17" s="51">
        <v>0.44600000000000001</v>
      </c>
      <c r="AJ17" s="51">
        <v>0.34799999999999998</v>
      </c>
      <c r="AK17" s="51">
        <v>0.27300000000000002</v>
      </c>
      <c r="AL17" s="51">
        <v>0.27300000000000002</v>
      </c>
      <c r="AM17" s="51" t="s">
        <v>38</v>
      </c>
      <c r="AN17" s="51">
        <v>0.38100000000000001</v>
      </c>
      <c r="AO17" s="51">
        <v>0.30499999999999999</v>
      </c>
      <c r="AP17" s="51" t="s">
        <v>38</v>
      </c>
      <c r="AQ17" s="51">
        <v>0.41099999999999998</v>
      </c>
      <c r="AR17" s="51">
        <v>0.40600000000000003</v>
      </c>
      <c r="AS17" s="51">
        <v>0.41099999999999998</v>
      </c>
      <c r="AT17" s="51">
        <v>0.40400000000000003</v>
      </c>
      <c r="AU17" s="51">
        <v>0.40600000000000003</v>
      </c>
      <c r="AV17" s="51">
        <v>0.35899999999999999</v>
      </c>
      <c r="AW17" s="51">
        <v>0.32200000000000001</v>
      </c>
      <c r="AX17" s="51">
        <v>0.26600000000000001</v>
      </c>
      <c r="AY17" s="51">
        <v>0.29199999999999998</v>
      </c>
      <c r="AZ17" s="51">
        <v>0.318</v>
      </c>
      <c r="BA17" s="51">
        <v>0.30299999999999999</v>
      </c>
      <c r="BB17" s="57" t="s">
        <v>38</v>
      </c>
      <c r="BC17" s="51">
        <v>0.36</v>
      </c>
      <c r="BD17" s="79" t="s">
        <v>38</v>
      </c>
      <c r="BE17" s="79" t="s">
        <v>38</v>
      </c>
      <c r="BF17" s="79" t="s">
        <v>38</v>
      </c>
      <c r="BG17" s="79" t="s">
        <v>38</v>
      </c>
      <c r="BH17" s="38">
        <v>0.36849999999999999</v>
      </c>
      <c r="BI17" s="38">
        <v>0.377</v>
      </c>
      <c r="BJ17" s="38">
        <v>0.36599999999999999</v>
      </c>
      <c r="BK17" s="38">
        <v>0.34550000000000003</v>
      </c>
      <c r="BL17" s="38">
        <v>0.39149999999999996</v>
      </c>
      <c r="BM17" s="38">
        <v>0.41100000000000003</v>
      </c>
      <c r="BN17" s="79" t="s">
        <v>38</v>
      </c>
      <c r="BO17" s="51">
        <v>0.35899999999999999</v>
      </c>
      <c r="BP17" s="38">
        <v>0.38250000000000001</v>
      </c>
      <c r="BQ17" s="38">
        <v>0.38550000000000001</v>
      </c>
      <c r="BR17" s="56">
        <v>0.39150000000000001</v>
      </c>
      <c r="BS17" s="56" t="s">
        <v>38</v>
      </c>
      <c r="BT17" s="56">
        <v>0.39</v>
      </c>
      <c r="BU17" s="43" t="s">
        <v>38</v>
      </c>
      <c r="BV17" s="56">
        <v>0.42449999999999999</v>
      </c>
      <c r="BW17" s="42">
        <v>0.36849999999999999</v>
      </c>
      <c r="BX17" s="42">
        <v>0.36599999999999999</v>
      </c>
      <c r="BY17" s="85">
        <f>(0.377+0.307)/2</f>
        <v>0.34199999999999997</v>
      </c>
      <c r="BZ17" s="85">
        <f>(0.521+0.494)/2</f>
        <v>0.50750000000000006</v>
      </c>
      <c r="CA17" s="90">
        <v>0.36</v>
      </c>
    </row>
    <row r="18" spans="1:79">
      <c r="A18" s="64">
        <v>7</v>
      </c>
      <c r="B18" s="82">
        <v>254315.12577700001</v>
      </c>
      <c r="C18" s="82">
        <v>4505538.1711100005</v>
      </c>
      <c r="D18" s="79" t="s">
        <v>38</v>
      </c>
      <c r="E18" s="79" t="s">
        <v>38</v>
      </c>
      <c r="F18" s="79" t="s">
        <v>38</v>
      </c>
      <c r="G18" s="79" t="s">
        <v>38</v>
      </c>
      <c r="H18" s="79" t="s">
        <v>38</v>
      </c>
      <c r="I18" s="79" t="s">
        <v>38</v>
      </c>
      <c r="J18" s="79" t="s">
        <v>38</v>
      </c>
      <c r="K18" s="79" t="s">
        <v>38</v>
      </c>
      <c r="L18" s="78">
        <v>0.1295</v>
      </c>
      <c r="M18" s="78">
        <v>0.1095</v>
      </c>
      <c r="N18" s="79" t="s">
        <v>38</v>
      </c>
      <c r="O18" s="79" t="s">
        <v>38</v>
      </c>
      <c r="P18" s="79" t="s">
        <v>38</v>
      </c>
      <c r="Q18" s="79" t="s">
        <v>38</v>
      </c>
      <c r="R18" s="79" t="s">
        <v>38</v>
      </c>
      <c r="S18" s="79" t="s">
        <v>38</v>
      </c>
      <c r="T18" s="79" t="s">
        <v>38</v>
      </c>
      <c r="U18" s="79" t="s">
        <v>38</v>
      </c>
      <c r="V18" s="79" t="s">
        <v>38</v>
      </c>
      <c r="W18" s="79" t="s">
        <v>38</v>
      </c>
      <c r="X18" s="79" t="s">
        <v>38</v>
      </c>
      <c r="Y18" s="79" t="s">
        <v>38</v>
      </c>
      <c r="Z18" s="79" t="s">
        <v>38</v>
      </c>
      <c r="AA18" s="79" t="s">
        <v>38</v>
      </c>
      <c r="AB18" s="79" t="s">
        <v>38</v>
      </c>
      <c r="AC18" s="79" t="s">
        <v>38</v>
      </c>
      <c r="AD18" s="79" t="s">
        <v>38</v>
      </c>
      <c r="AE18" s="79" t="s">
        <v>38</v>
      </c>
      <c r="AF18" s="79" t="s">
        <v>38</v>
      </c>
      <c r="AG18" s="79" t="s">
        <v>38</v>
      </c>
      <c r="AH18" s="79" t="s">
        <v>38</v>
      </c>
      <c r="AI18" s="79" t="s">
        <v>38</v>
      </c>
      <c r="AJ18" s="79" t="s">
        <v>38</v>
      </c>
      <c r="AK18" s="79" t="s">
        <v>38</v>
      </c>
      <c r="AL18" s="79" t="s">
        <v>38</v>
      </c>
      <c r="AM18" s="79" t="s">
        <v>38</v>
      </c>
      <c r="AN18" s="79" t="s">
        <v>38</v>
      </c>
      <c r="AO18" s="79" t="s">
        <v>38</v>
      </c>
      <c r="AP18" s="79" t="s">
        <v>38</v>
      </c>
      <c r="AQ18" s="79" t="s">
        <v>38</v>
      </c>
      <c r="AR18" s="79" t="s">
        <v>38</v>
      </c>
      <c r="AS18" s="79" t="s">
        <v>38</v>
      </c>
      <c r="AT18" s="79" t="s">
        <v>38</v>
      </c>
      <c r="AU18" s="79" t="s">
        <v>38</v>
      </c>
      <c r="AV18" s="79" t="s">
        <v>38</v>
      </c>
      <c r="AW18" s="79" t="s">
        <v>38</v>
      </c>
      <c r="AX18" s="79" t="s">
        <v>38</v>
      </c>
      <c r="AY18" s="79" t="s">
        <v>38</v>
      </c>
      <c r="AZ18" s="79" t="s">
        <v>38</v>
      </c>
      <c r="BA18" s="79" t="s">
        <v>38</v>
      </c>
      <c r="BB18" s="79" t="s">
        <v>38</v>
      </c>
      <c r="BC18" s="79" t="s">
        <v>38</v>
      </c>
      <c r="BD18" s="79" t="s">
        <v>38</v>
      </c>
      <c r="BE18" s="79" t="s">
        <v>38</v>
      </c>
      <c r="BF18" s="79" t="s">
        <v>38</v>
      </c>
      <c r="BG18" s="79" t="s">
        <v>38</v>
      </c>
      <c r="BH18" s="79" t="s">
        <v>38</v>
      </c>
      <c r="BI18" s="79" t="s">
        <v>38</v>
      </c>
      <c r="BJ18" s="79" t="s">
        <v>38</v>
      </c>
      <c r="BK18" s="79" t="s">
        <v>38</v>
      </c>
      <c r="BL18" s="79" t="s">
        <v>38</v>
      </c>
      <c r="BM18" s="79" t="s">
        <v>38</v>
      </c>
      <c r="BN18" s="79" t="s">
        <v>38</v>
      </c>
      <c r="BO18" s="79" t="s">
        <v>38</v>
      </c>
      <c r="BP18" s="79" t="s">
        <v>38</v>
      </c>
      <c r="BQ18" s="79" t="s">
        <v>38</v>
      </c>
      <c r="BR18" s="79" t="s">
        <v>38</v>
      </c>
      <c r="BS18" s="79" t="s">
        <v>38</v>
      </c>
      <c r="BT18" s="79" t="s">
        <v>38</v>
      </c>
      <c r="BU18" s="79" t="s">
        <v>38</v>
      </c>
      <c r="BV18" s="79" t="s">
        <v>38</v>
      </c>
      <c r="BW18" s="79" t="s">
        <v>38</v>
      </c>
      <c r="BX18" s="79" t="s">
        <v>38</v>
      </c>
      <c r="BY18" s="85" t="s">
        <v>38</v>
      </c>
      <c r="BZ18" s="85">
        <f>(0.149+0.15)/2</f>
        <v>0.14949999999999999</v>
      </c>
      <c r="CA18" s="90" t="s">
        <v>38</v>
      </c>
    </row>
    <row r="19" spans="1:79">
      <c r="A19" s="64">
        <v>8</v>
      </c>
      <c r="B19" s="82">
        <v>254315.63247400001</v>
      </c>
      <c r="C19" s="82">
        <v>4505540.80064</v>
      </c>
      <c r="D19" s="78" t="s">
        <v>38</v>
      </c>
      <c r="E19" s="79" t="s">
        <v>38</v>
      </c>
      <c r="F19" s="79">
        <v>0.14050000000000001</v>
      </c>
      <c r="G19" s="79">
        <v>0.14699999999999999</v>
      </c>
      <c r="H19" s="79">
        <v>0.14350000000000002</v>
      </c>
      <c r="I19" s="79">
        <v>0.11849999999999999</v>
      </c>
      <c r="J19" s="79">
        <v>0.1125</v>
      </c>
      <c r="K19" s="79" t="s">
        <v>38</v>
      </c>
      <c r="L19" s="79">
        <v>0.1095</v>
      </c>
      <c r="M19" s="79" t="s">
        <v>38</v>
      </c>
      <c r="N19" s="79" t="s">
        <v>38</v>
      </c>
      <c r="O19" s="79" t="s">
        <v>38</v>
      </c>
      <c r="P19" s="79" t="s">
        <v>38</v>
      </c>
      <c r="Q19" s="67">
        <v>0.129</v>
      </c>
      <c r="R19" s="67">
        <v>0.129</v>
      </c>
      <c r="S19" s="67">
        <v>0.129</v>
      </c>
      <c r="T19" s="51">
        <v>0.40500000000000003</v>
      </c>
      <c r="U19" s="51">
        <v>0.16400000000000001</v>
      </c>
      <c r="V19" s="51">
        <v>0.157</v>
      </c>
      <c r="W19" s="51">
        <v>0.158</v>
      </c>
      <c r="X19" s="51">
        <v>0.14699999999999999</v>
      </c>
      <c r="Y19" s="51">
        <v>0.13700000000000001</v>
      </c>
      <c r="Z19" s="51">
        <v>0.13100000000000001</v>
      </c>
      <c r="AA19" s="51">
        <v>0.129</v>
      </c>
      <c r="AB19" s="51">
        <v>0.157</v>
      </c>
      <c r="AC19" s="51">
        <v>0.14699999999999999</v>
      </c>
      <c r="AD19" s="51">
        <v>0.17</v>
      </c>
      <c r="AE19" s="51">
        <v>0.157</v>
      </c>
      <c r="AF19" s="51">
        <v>0.13800000000000001</v>
      </c>
      <c r="AG19" s="51">
        <v>0.127</v>
      </c>
      <c r="AH19" s="51">
        <v>0.123</v>
      </c>
      <c r="AI19" s="51">
        <v>0.11600000000000001</v>
      </c>
      <c r="AJ19" s="51">
        <v>0.13800000000000001</v>
      </c>
      <c r="AK19" s="51">
        <v>0.121</v>
      </c>
      <c r="AL19" s="51">
        <v>0.121</v>
      </c>
      <c r="AM19" s="51">
        <v>0.121</v>
      </c>
      <c r="AN19" s="51">
        <v>0.14699999999999999</v>
      </c>
      <c r="AO19" s="51">
        <v>0.108</v>
      </c>
      <c r="AP19" s="51">
        <v>0.123</v>
      </c>
      <c r="AQ19" s="51">
        <v>0.127</v>
      </c>
      <c r="AR19" s="51">
        <v>0.11899999999999999</v>
      </c>
      <c r="AS19" s="51">
        <v>0.125</v>
      </c>
      <c r="AT19" s="51">
        <v>0.121</v>
      </c>
      <c r="AU19" s="51">
        <v>0.121</v>
      </c>
      <c r="AV19" s="51">
        <v>0.121</v>
      </c>
      <c r="AW19" s="51">
        <v>0.11600000000000001</v>
      </c>
      <c r="AX19" s="51">
        <v>0.1</v>
      </c>
      <c r="AY19" s="51">
        <v>0.104</v>
      </c>
      <c r="AZ19" s="51">
        <v>0.113</v>
      </c>
      <c r="BA19" s="51">
        <v>9.5000000000000001E-2</v>
      </c>
      <c r="BB19" s="57" t="s">
        <v>38</v>
      </c>
      <c r="BC19" s="51">
        <v>0.1085</v>
      </c>
      <c r="BD19" s="79" t="s">
        <v>38</v>
      </c>
      <c r="BE19" s="79" t="s">
        <v>38</v>
      </c>
      <c r="BF19" s="79" t="s">
        <v>38</v>
      </c>
      <c r="BG19" s="51">
        <v>0.1565</v>
      </c>
      <c r="BH19" s="38">
        <v>0.13450000000000001</v>
      </c>
      <c r="BI19" s="38">
        <v>0.14949999999999999</v>
      </c>
      <c r="BJ19" s="38">
        <v>0.14000000000000001</v>
      </c>
      <c r="BK19" s="38">
        <v>0.13</v>
      </c>
      <c r="BL19" s="38">
        <v>0.13100000000000001</v>
      </c>
      <c r="BM19" s="38" t="s">
        <v>38</v>
      </c>
      <c r="BN19" s="79" t="s">
        <v>38</v>
      </c>
      <c r="BO19" s="51">
        <v>0.13700000000000001</v>
      </c>
      <c r="BP19" s="38">
        <v>0.11</v>
      </c>
      <c r="BQ19" s="38">
        <v>0.12</v>
      </c>
      <c r="BR19" s="56">
        <v>0.1235</v>
      </c>
      <c r="BS19" s="56" t="s">
        <v>38</v>
      </c>
      <c r="BT19" s="56">
        <v>0.11899999999999999</v>
      </c>
      <c r="BU19" s="43" t="s">
        <v>38</v>
      </c>
      <c r="BV19" s="56">
        <v>0.123</v>
      </c>
      <c r="BW19" s="42">
        <v>0.1115</v>
      </c>
      <c r="BX19" s="42">
        <v>0.1085</v>
      </c>
      <c r="BY19" s="85" t="s">
        <v>38</v>
      </c>
      <c r="BZ19" s="85" t="s">
        <v>38</v>
      </c>
      <c r="CA19" s="90" t="s">
        <v>38</v>
      </c>
    </row>
    <row r="20" spans="1:79">
      <c r="A20" s="64">
        <v>9</v>
      </c>
      <c r="B20" s="82">
        <v>254318.80336600001</v>
      </c>
      <c r="C20" s="82">
        <v>4505533.64805</v>
      </c>
      <c r="D20" s="78" t="s">
        <v>38</v>
      </c>
      <c r="E20" s="79" t="s">
        <v>38</v>
      </c>
      <c r="F20" s="79">
        <v>0.17699999999999999</v>
      </c>
      <c r="G20" s="79">
        <v>0.17049999999999998</v>
      </c>
      <c r="H20" s="79">
        <v>0.16300000000000001</v>
      </c>
      <c r="I20" s="79">
        <v>0.13750000000000001</v>
      </c>
      <c r="J20" s="79">
        <v>0.1255</v>
      </c>
      <c r="K20" s="79">
        <v>0.1215</v>
      </c>
      <c r="L20" s="79">
        <v>0.11899999999999999</v>
      </c>
      <c r="M20" s="79">
        <v>0.106</v>
      </c>
      <c r="N20" s="79" t="s">
        <v>38</v>
      </c>
      <c r="O20" s="79" t="s">
        <v>38</v>
      </c>
      <c r="P20" s="79" t="s">
        <v>38</v>
      </c>
      <c r="Q20" s="67">
        <v>0.14299999999999999</v>
      </c>
      <c r="R20" s="67">
        <v>0.14299999999999999</v>
      </c>
      <c r="S20" s="67">
        <v>0.14299999999999999</v>
      </c>
      <c r="T20" s="51">
        <v>0.184</v>
      </c>
      <c r="U20" s="51">
        <v>0.189</v>
      </c>
      <c r="V20" s="51">
        <v>0.182</v>
      </c>
      <c r="W20" s="51">
        <v>0.183</v>
      </c>
      <c r="X20" s="51">
        <v>0.17899999999999999</v>
      </c>
      <c r="Y20" s="51">
        <v>0.16500000000000001</v>
      </c>
      <c r="Z20" s="51">
        <v>0.16</v>
      </c>
      <c r="AA20" s="51">
        <v>0.16700000000000001</v>
      </c>
      <c r="AB20" s="51">
        <v>0.182</v>
      </c>
      <c r="AC20" s="51">
        <v>0.16700000000000001</v>
      </c>
      <c r="AD20" s="51">
        <v>0.183</v>
      </c>
      <c r="AE20" s="51">
        <v>0.185</v>
      </c>
      <c r="AF20" s="51">
        <v>0.14699999999999999</v>
      </c>
      <c r="AG20" s="51">
        <v>0.161</v>
      </c>
      <c r="AH20" s="51">
        <v>0.13500000000000001</v>
      </c>
      <c r="AI20" s="51">
        <v>0.13</v>
      </c>
      <c r="AJ20" s="51">
        <v>0.14799999999999999</v>
      </c>
      <c r="AK20" s="51">
        <v>0.14699999999999999</v>
      </c>
      <c r="AL20" s="51">
        <v>0.14699999999999999</v>
      </c>
      <c r="AM20" s="51">
        <v>0.193</v>
      </c>
      <c r="AN20" s="51">
        <v>0.16700000000000001</v>
      </c>
      <c r="AO20" s="51">
        <v>0.11600000000000001</v>
      </c>
      <c r="AP20" s="51" t="s">
        <v>38</v>
      </c>
      <c r="AQ20" s="51">
        <v>0.14799999999999999</v>
      </c>
      <c r="AR20" s="51">
        <v>0.13800000000000001</v>
      </c>
      <c r="AS20" s="51">
        <v>0.14299999999999999</v>
      </c>
      <c r="AT20" s="51">
        <v>0.13300000000000001</v>
      </c>
      <c r="AU20" s="51">
        <v>0.13</v>
      </c>
      <c r="AV20" s="51">
        <v>0.14000000000000001</v>
      </c>
      <c r="AW20" s="51">
        <v>0.128</v>
      </c>
      <c r="AX20" s="51">
        <v>0.111</v>
      </c>
      <c r="AY20" s="51">
        <v>0.113</v>
      </c>
      <c r="AZ20" s="51">
        <v>0.17699999999999999</v>
      </c>
      <c r="BA20" s="51">
        <v>0.109</v>
      </c>
      <c r="BB20" s="57" t="s">
        <v>38</v>
      </c>
      <c r="BC20" s="51">
        <v>0.1215</v>
      </c>
      <c r="BD20" s="79" t="s">
        <v>38</v>
      </c>
      <c r="BE20" s="79" t="s">
        <v>38</v>
      </c>
      <c r="BF20" s="79" t="s">
        <v>38</v>
      </c>
      <c r="BG20" s="51">
        <v>0.1895</v>
      </c>
      <c r="BH20" s="38">
        <v>0.1555</v>
      </c>
      <c r="BI20" s="38">
        <v>0.1615</v>
      </c>
      <c r="BJ20" s="38">
        <v>0.14949999999999999</v>
      </c>
      <c r="BK20" s="38">
        <v>0.16</v>
      </c>
      <c r="BL20" s="38">
        <v>0.16400000000000001</v>
      </c>
      <c r="BM20" s="38">
        <v>0.16650000000000001</v>
      </c>
      <c r="BN20" s="79" t="s">
        <v>38</v>
      </c>
      <c r="BO20" s="51">
        <v>0.16649999999999998</v>
      </c>
      <c r="BP20" s="38">
        <v>0.16200000000000001</v>
      </c>
      <c r="BQ20" s="38">
        <v>0.14100000000000001</v>
      </c>
      <c r="BR20" s="56">
        <v>0.13800000000000001</v>
      </c>
      <c r="BS20" s="56" t="s">
        <v>38</v>
      </c>
      <c r="BT20" s="56">
        <v>0.14050000000000001</v>
      </c>
      <c r="BU20" s="43" t="s">
        <v>38</v>
      </c>
      <c r="BV20" s="56">
        <v>0.14000000000000001</v>
      </c>
      <c r="BW20" s="42">
        <v>0.14300000000000002</v>
      </c>
      <c r="BX20" s="42">
        <v>0.1205</v>
      </c>
      <c r="BY20" s="85">
        <f>(0.24+0.241)/2</f>
        <v>0.24049999999999999</v>
      </c>
      <c r="BZ20" s="85">
        <f>(0.241+0.246)/2</f>
        <v>0.24349999999999999</v>
      </c>
      <c r="CA20" s="90">
        <v>0.20349999999999999</v>
      </c>
    </row>
    <row r="21" spans="1:79">
      <c r="A21" s="64">
        <v>10</v>
      </c>
      <c r="B21" s="82">
        <v>254304.411941</v>
      </c>
      <c r="C21" s="82">
        <v>4505533.3200700004</v>
      </c>
      <c r="D21" s="79" t="s">
        <v>38</v>
      </c>
      <c r="E21" s="79" t="s">
        <v>38</v>
      </c>
      <c r="F21" s="79" t="s">
        <v>38</v>
      </c>
      <c r="G21" s="79" t="s">
        <v>38</v>
      </c>
      <c r="H21" s="79" t="s">
        <v>38</v>
      </c>
      <c r="I21" s="79" t="s">
        <v>38</v>
      </c>
      <c r="J21" s="79" t="s">
        <v>38</v>
      </c>
      <c r="K21" s="79" t="s">
        <v>38</v>
      </c>
      <c r="L21" s="79" t="s">
        <v>38</v>
      </c>
      <c r="M21" s="79" t="s">
        <v>38</v>
      </c>
      <c r="N21" s="79" t="s">
        <v>38</v>
      </c>
      <c r="O21" s="79" t="s">
        <v>38</v>
      </c>
      <c r="P21" s="79" t="s">
        <v>38</v>
      </c>
      <c r="Q21" s="79" t="s">
        <v>38</v>
      </c>
      <c r="R21" s="79" t="s">
        <v>38</v>
      </c>
      <c r="S21" s="79" t="s">
        <v>38</v>
      </c>
      <c r="T21" s="79" t="s">
        <v>38</v>
      </c>
      <c r="U21" s="79" t="s">
        <v>38</v>
      </c>
      <c r="V21" s="79" t="s">
        <v>38</v>
      </c>
      <c r="W21" s="79" t="s">
        <v>38</v>
      </c>
      <c r="X21" s="79" t="s">
        <v>38</v>
      </c>
      <c r="Y21" s="79" t="s">
        <v>38</v>
      </c>
      <c r="Z21" s="79" t="s">
        <v>38</v>
      </c>
      <c r="AA21" s="79" t="s">
        <v>38</v>
      </c>
      <c r="AB21" s="79" t="s">
        <v>38</v>
      </c>
      <c r="AC21" s="79" t="s">
        <v>38</v>
      </c>
      <c r="AD21" s="79" t="s">
        <v>38</v>
      </c>
      <c r="AE21" s="79" t="s">
        <v>38</v>
      </c>
      <c r="AF21" s="79" t="s">
        <v>38</v>
      </c>
      <c r="AG21" s="79" t="s">
        <v>38</v>
      </c>
      <c r="AH21" s="79" t="s">
        <v>38</v>
      </c>
      <c r="AI21" s="79" t="s">
        <v>38</v>
      </c>
      <c r="AJ21" s="79" t="s">
        <v>38</v>
      </c>
      <c r="AK21" s="79" t="s">
        <v>38</v>
      </c>
      <c r="AL21" s="79" t="s">
        <v>38</v>
      </c>
      <c r="AM21" s="79" t="s">
        <v>38</v>
      </c>
      <c r="AN21" s="79" t="s">
        <v>38</v>
      </c>
      <c r="AO21" s="79" t="s">
        <v>38</v>
      </c>
      <c r="AP21" s="79" t="s">
        <v>38</v>
      </c>
      <c r="AQ21" s="79" t="s">
        <v>38</v>
      </c>
      <c r="AR21" s="79" t="s">
        <v>38</v>
      </c>
      <c r="AS21" s="79" t="s">
        <v>38</v>
      </c>
      <c r="AT21" s="79" t="s">
        <v>38</v>
      </c>
      <c r="AU21" s="79" t="s">
        <v>38</v>
      </c>
      <c r="AV21" s="79" t="s">
        <v>38</v>
      </c>
      <c r="AW21" s="79" t="s">
        <v>38</v>
      </c>
      <c r="AX21" s="79" t="s">
        <v>38</v>
      </c>
      <c r="AY21" s="79" t="s">
        <v>38</v>
      </c>
      <c r="AZ21" s="79" t="s">
        <v>38</v>
      </c>
      <c r="BA21" s="79" t="s">
        <v>38</v>
      </c>
      <c r="BB21" s="79" t="s">
        <v>38</v>
      </c>
      <c r="BC21" s="79" t="s">
        <v>38</v>
      </c>
      <c r="BD21" s="79" t="s">
        <v>38</v>
      </c>
      <c r="BE21" s="79" t="s">
        <v>38</v>
      </c>
      <c r="BF21" s="79" t="s">
        <v>38</v>
      </c>
      <c r="BG21" s="79" t="s">
        <v>38</v>
      </c>
      <c r="BH21" s="79" t="s">
        <v>38</v>
      </c>
      <c r="BI21" s="79" t="s">
        <v>38</v>
      </c>
      <c r="BJ21" s="79" t="s">
        <v>38</v>
      </c>
      <c r="BK21" s="79" t="s">
        <v>38</v>
      </c>
      <c r="BL21" s="79" t="s">
        <v>38</v>
      </c>
      <c r="BM21" s="79" t="s">
        <v>38</v>
      </c>
      <c r="BN21" s="79" t="s">
        <v>38</v>
      </c>
      <c r="BO21" s="79" t="s">
        <v>38</v>
      </c>
      <c r="BP21" s="79" t="s">
        <v>38</v>
      </c>
      <c r="BQ21" s="79" t="s">
        <v>38</v>
      </c>
      <c r="BR21" s="79" t="s">
        <v>38</v>
      </c>
      <c r="BS21" s="79" t="s">
        <v>38</v>
      </c>
      <c r="BT21" s="79" t="s">
        <v>38</v>
      </c>
      <c r="BU21" s="79" t="s">
        <v>38</v>
      </c>
      <c r="BV21" s="79" t="s">
        <v>38</v>
      </c>
      <c r="BW21" s="79" t="s">
        <v>38</v>
      </c>
      <c r="BX21" s="79" t="s">
        <v>38</v>
      </c>
      <c r="BY21" s="85" t="s">
        <v>38</v>
      </c>
      <c r="BZ21" s="85" t="s">
        <v>38</v>
      </c>
      <c r="CA21" s="90" t="s">
        <v>38</v>
      </c>
    </row>
    <row r="22" spans="1:79">
      <c r="A22" s="64">
        <v>11</v>
      </c>
      <c r="B22" s="82">
        <v>254377.22509600001</v>
      </c>
      <c r="C22" s="82">
        <v>4505568.8344999999</v>
      </c>
      <c r="D22" s="79" t="s">
        <v>38</v>
      </c>
      <c r="E22" s="79" t="s">
        <v>38</v>
      </c>
      <c r="F22" s="79" t="s">
        <v>38</v>
      </c>
      <c r="G22" s="79" t="s">
        <v>38</v>
      </c>
      <c r="H22" s="79" t="s">
        <v>38</v>
      </c>
      <c r="I22" s="79" t="s">
        <v>38</v>
      </c>
      <c r="J22" s="79" t="s">
        <v>38</v>
      </c>
      <c r="K22" s="79" t="s">
        <v>38</v>
      </c>
      <c r="L22" s="79" t="s">
        <v>38</v>
      </c>
      <c r="M22" s="79" t="s">
        <v>38</v>
      </c>
      <c r="N22" s="79" t="s">
        <v>38</v>
      </c>
      <c r="O22" s="79" t="s">
        <v>38</v>
      </c>
      <c r="P22" s="79" t="s">
        <v>38</v>
      </c>
      <c r="Q22" s="79" t="s">
        <v>38</v>
      </c>
      <c r="R22" s="79" t="s">
        <v>38</v>
      </c>
      <c r="S22" s="79" t="s">
        <v>38</v>
      </c>
      <c r="T22" s="51">
        <v>0.40600000000000003</v>
      </c>
      <c r="U22" s="51">
        <v>0.45200000000000001</v>
      </c>
      <c r="V22" s="51">
        <v>0.44900000000000001</v>
      </c>
      <c r="W22" s="51">
        <v>0.50900000000000001</v>
      </c>
      <c r="X22" s="51">
        <v>0.44600000000000001</v>
      </c>
      <c r="Y22" s="51">
        <v>0.436</v>
      </c>
      <c r="Z22" s="51">
        <v>0.42399999999999999</v>
      </c>
      <c r="AA22" s="51">
        <v>0.42099999999999999</v>
      </c>
      <c r="AB22" s="51">
        <v>0.41799999999999998</v>
      </c>
      <c r="AC22" s="51">
        <v>0.45800000000000002</v>
      </c>
      <c r="AD22" s="51">
        <v>0.40200000000000002</v>
      </c>
      <c r="AE22" s="51">
        <v>0.38</v>
      </c>
      <c r="AF22" s="51">
        <v>0.34300000000000003</v>
      </c>
      <c r="AG22" s="51">
        <v>0.32500000000000001</v>
      </c>
      <c r="AH22" s="51">
        <v>0.31</v>
      </c>
      <c r="AI22" s="51">
        <v>0.311</v>
      </c>
      <c r="AJ22" s="51">
        <v>0.36199999999999999</v>
      </c>
      <c r="AK22" s="51">
        <v>0.308</v>
      </c>
      <c r="AL22" s="51">
        <v>0.308</v>
      </c>
      <c r="AM22" s="51">
        <v>0.38800000000000001</v>
      </c>
      <c r="AN22" s="51">
        <v>0.33200000000000002</v>
      </c>
      <c r="AO22" s="51">
        <v>0.27200000000000002</v>
      </c>
      <c r="AP22" s="51">
        <v>0.30199999999999999</v>
      </c>
      <c r="AQ22" s="51">
        <v>0.33400000000000002</v>
      </c>
      <c r="AR22" s="51">
        <v>0.314</v>
      </c>
      <c r="AS22" s="51">
        <v>0.316</v>
      </c>
      <c r="AT22" s="51">
        <v>0.29899999999999999</v>
      </c>
      <c r="AU22" s="51">
        <v>0.30499999999999999</v>
      </c>
      <c r="AV22" s="51">
        <v>0.3</v>
      </c>
      <c r="AW22" s="51">
        <v>0.28599999999999998</v>
      </c>
      <c r="AX22" s="51">
        <v>0.26300000000000001</v>
      </c>
      <c r="AY22" s="51">
        <v>0.27400000000000002</v>
      </c>
      <c r="AZ22" s="51">
        <v>0.27600000000000002</v>
      </c>
      <c r="BA22" s="51">
        <v>0.26600000000000001</v>
      </c>
      <c r="BB22" s="52">
        <v>0.111</v>
      </c>
      <c r="BC22" s="51">
        <v>0.27400000000000002</v>
      </c>
      <c r="BD22" s="79" t="s">
        <v>38</v>
      </c>
      <c r="BE22" s="79" t="s">
        <v>38</v>
      </c>
      <c r="BF22" s="79" t="s">
        <v>38</v>
      </c>
      <c r="BG22" s="51">
        <v>0.32850000000000001</v>
      </c>
      <c r="BH22" s="38">
        <v>0.30049999999999999</v>
      </c>
      <c r="BI22" s="38">
        <v>0.311</v>
      </c>
      <c r="BJ22" s="38">
        <v>0.30249999999999999</v>
      </c>
      <c r="BK22" s="38">
        <v>0.29099999999999998</v>
      </c>
      <c r="BL22" s="38">
        <v>0.30199999999999999</v>
      </c>
      <c r="BM22" s="38">
        <v>0.32700000000000001</v>
      </c>
      <c r="BN22" s="79" t="s">
        <v>38</v>
      </c>
      <c r="BO22" s="51">
        <v>0.30499999999999999</v>
      </c>
      <c r="BP22" s="38">
        <v>0.307</v>
      </c>
      <c r="BQ22" s="38" t="s">
        <v>38</v>
      </c>
      <c r="BR22" s="56" t="s">
        <v>38</v>
      </c>
      <c r="BS22" s="56" t="s">
        <v>38</v>
      </c>
      <c r="BT22" s="56" t="s">
        <v>38</v>
      </c>
      <c r="BU22" s="56" t="s">
        <v>38</v>
      </c>
      <c r="BV22" s="56" t="s">
        <v>38</v>
      </c>
      <c r="BW22" s="56" t="s">
        <v>38</v>
      </c>
      <c r="BX22" s="56" t="s">
        <v>38</v>
      </c>
      <c r="BY22" s="85">
        <f>(0.325+0.33)/2</f>
        <v>0.32750000000000001</v>
      </c>
      <c r="BZ22" s="85">
        <f>(0.305+0.311)/2</f>
        <v>0.308</v>
      </c>
      <c r="CA22" s="90" t="s">
        <v>38</v>
      </c>
    </row>
    <row r="23" spans="1:79">
      <c r="A23" s="64">
        <v>12</v>
      </c>
      <c r="B23" s="82">
        <v>254378.35348799999</v>
      </c>
      <c r="C23" s="82">
        <v>4505539.32706</v>
      </c>
      <c r="D23" s="78" t="s">
        <v>38</v>
      </c>
      <c r="E23" s="79">
        <v>0.33900000000000002</v>
      </c>
      <c r="F23" s="79">
        <v>0.35499999999999998</v>
      </c>
      <c r="G23" s="79">
        <v>0.34950000000000003</v>
      </c>
      <c r="H23" s="79">
        <v>0.35799999999999998</v>
      </c>
      <c r="I23" s="79">
        <v>0.27050000000000002</v>
      </c>
      <c r="J23" s="79">
        <v>0.25800000000000001</v>
      </c>
      <c r="K23" s="79">
        <v>0.216</v>
      </c>
      <c r="L23" s="79">
        <v>0.222</v>
      </c>
      <c r="M23" s="79">
        <v>0.21099999999999999</v>
      </c>
      <c r="N23" s="67">
        <v>0.20150000000000001</v>
      </c>
      <c r="O23" s="67">
        <v>0.20050000000000001</v>
      </c>
      <c r="P23" s="67">
        <v>0.21149999999999999</v>
      </c>
      <c r="Q23" s="67">
        <v>0.20200000000000001</v>
      </c>
      <c r="R23" s="67">
        <v>0.25600000000000001</v>
      </c>
      <c r="S23" s="67">
        <v>0.2175</v>
      </c>
      <c r="T23" s="51">
        <v>0.41599999999999998</v>
      </c>
      <c r="U23" s="51">
        <v>0.41399999999999998</v>
      </c>
      <c r="V23" s="51">
        <v>0.40500000000000003</v>
      </c>
      <c r="W23" s="51">
        <v>0.438</v>
      </c>
      <c r="X23" s="51">
        <v>0.38400000000000001</v>
      </c>
      <c r="Y23" s="51">
        <v>0.40300000000000002</v>
      </c>
      <c r="Z23" s="51">
        <v>0.39</v>
      </c>
      <c r="AA23" s="51">
        <v>0.38700000000000001</v>
      </c>
      <c r="AB23" s="51">
        <v>0.36799999999999999</v>
      </c>
      <c r="AC23" s="51">
        <v>0.39400000000000002</v>
      </c>
      <c r="AD23" s="51">
        <v>0.44700000000000001</v>
      </c>
      <c r="AE23" s="51">
        <v>0.37</v>
      </c>
      <c r="AF23" s="51">
        <v>0.28999999999999998</v>
      </c>
      <c r="AG23" s="51">
        <v>0.27200000000000002</v>
      </c>
      <c r="AH23" s="51">
        <v>0.23899999999999999</v>
      </c>
      <c r="AI23" s="51">
        <v>0.23599999999999999</v>
      </c>
      <c r="AJ23" s="51">
        <v>0.27900000000000003</v>
      </c>
      <c r="AK23" s="51">
        <v>0.24299999999999999</v>
      </c>
      <c r="AL23" s="51">
        <v>0.24299999999999999</v>
      </c>
      <c r="AM23" s="51">
        <v>0.28899999999999998</v>
      </c>
      <c r="AN23" s="51">
        <v>0.32800000000000001</v>
      </c>
      <c r="AO23" s="51">
        <v>0.25</v>
      </c>
      <c r="AP23" s="51" t="s">
        <v>38</v>
      </c>
      <c r="AQ23" s="51">
        <v>0.312</v>
      </c>
      <c r="AR23" s="51">
        <v>0.30499999999999999</v>
      </c>
      <c r="AS23" s="51">
        <v>0.28000000000000003</v>
      </c>
      <c r="AT23" s="51">
        <v>0.28199999999999997</v>
      </c>
      <c r="AU23" s="51">
        <v>0.26200000000000001</v>
      </c>
      <c r="AV23" s="51">
        <v>0.25900000000000001</v>
      </c>
      <c r="AW23" s="51">
        <v>0.22900000000000001</v>
      </c>
      <c r="AX23" s="51">
        <v>0.224</v>
      </c>
      <c r="AY23" s="51">
        <v>0.222</v>
      </c>
      <c r="AZ23" s="51">
        <v>0.217</v>
      </c>
      <c r="BA23" s="51">
        <v>0.216</v>
      </c>
      <c r="BB23" s="52" t="s">
        <v>38</v>
      </c>
      <c r="BC23" s="51">
        <v>0.22700000000000001</v>
      </c>
      <c r="BD23" s="79" t="s">
        <v>38</v>
      </c>
      <c r="BE23" s="79" t="s">
        <v>38</v>
      </c>
      <c r="BF23" s="79" t="s">
        <v>38</v>
      </c>
      <c r="BG23" s="51">
        <v>0.29599999999999999</v>
      </c>
      <c r="BH23" s="38">
        <v>0.31</v>
      </c>
      <c r="BI23" s="38">
        <v>0.32850000000000001</v>
      </c>
      <c r="BJ23" s="38">
        <v>0.30249999999999999</v>
      </c>
      <c r="BK23" s="38">
        <v>0.32600000000000001</v>
      </c>
      <c r="BL23" s="38">
        <v>0.32450000000000001</v>
      </c>
      <c r="BM23" s="38">
        <v>0.34550000000000003</v>
      </c>
      <c r="BN23" s="79" t="s">
        <v>38</v>
      </c>
      <c r="BO23" s="51">
        <v>0.33450000000000002</v>
      </c>
      <c r="BP23" s="38">
        <v>0.32850000000000001</v>
      </c>
      <c r="BQ23" s="38">
        <v>0.2455</v>
      </c>
      <c r="BR23" s="56">
        <v>0.26300000000000001</v>
      </c>
      <c r="BS23" s="56" t="s">
        <v>38</v>
      </c>
      <c r="BT23" s="56">
        <v>0.25650000000000001</v>
      </c>
      <c r="BU23" s="56" t="s">
        <v>38</v>
      </c>
      <c r="BV23" s="56">
        <v>0.26750000000000002</v>
      </c>
      <c r="BW23" s="42">
        <v>0.22500000000000001</v>
      </c>
      <c r="BX23" s="42">
        <v>0.23449999999999999</v>
      </c>
      <c r="BY23" s="85">
        <v>0.33600000000000002</v>
      </c>
      <c r="BZ23" s="85">
        <f>(0.328+0.333)/2</f>
        <v>0.33050000000000002</v>
      </c>
      <c r="CA23" s="90">
        <v>0.44900000000000001</v>
      </c>
    </row>
    <row r="24" spans="1:79">
      <c r="A24" s="64">
        <v>13</v>
      </c>
      <c r="B24" s="82">
        <v>254394.38724800001</v>
      </c>
      <c r="C24" s="82">
        <v>4505500.7558800001</v>
      </c>
      <c r="D24" s="78" t="s">
        <v>38</v>
      </c>
      <c r="E24" s="79" t="s">
        <v>38</v>
      </c>
      <c r="F24" s="79" t="s">
        <v>38</v>
      </c>
      <c r="G24" s="79" t="s">
        <v>38</v>
      </c>
      <c r="H24" s="79" t="s">
        <v>38</v>
      </c>
      <c r="I24" s="79">
        <v>0.20600000000000002</v>
      </c>
      <c r="J24" s="79">
        <v>0.19500000000000001</v>
      </c>
      <c r="K24" s="79">
        <v>0.1525</v>
      </c>
      <c r="L24" s="79">
        <v>0.16349999999999998</v>
      </c>
      <c r="M24" s="79">
        <v>0.13350000000000001</v>
      </c>
      <c r="N24" s="67">
        <v>0.35099999999999998</v>
      </c>
      <c r="O24" s="67">
        <v>0.14949999999999999</v>
      </c>
      <c r="P24" s="67">
        <v>0.17299999999999999</v>
      </c>
      <c r="Q24" s="67">
        <v>0.22899999999999998</v>
      </c>
      <c r="R24" s="79" t="s">
        <v>38</v>
      </c>
      <c r="S24" s="79" t="s">
        <v>38</v>
      </c>
      <c r="T24" s="51">
        <v>0.32</v>
      </c>
      <c r="U24" s="51" t="s">
        <v>38</v>
      </c>
      <c r="V24" s="51" t="s">
        <v>38</v>
      </c>
      <c r="W24" s="51" t="s">
        <v>38</v>
      </c>
      <c r="X24" s="51">
        <v>0.29099999999999998</v>
      </c>
      <c r="Y24" s="51">
        <v>0.29299999999999998</v>
      </c>
      <c r="Z24" s="51">
        <v>0.34100000000000003</v>
      </c>
      <c r="AA24" s="51">
        <v>0.34499999999999997</v>
      </c>
      <c r="AB24" s="51" t="s">
        <v>38</v>
      </c>
      <c r="AC24" s="51">
        <v>0.32100000000000001</v>
      </c>
      <c r="AD24" s="51">
        <v>0.27200000000000002</v>
      </c>
      <c r="AE24" s="51">
        <v>0.25600000000000001</v>
      </c>
      <c r="AF24" s="51">
        <v>0.219</v>
      </c>
      <c r="AG24" s="51">
        <v>0.20100000000000001</v>
      </c>
      <c r="AH24" s="51">
        <v>0.20300000000000001</v>
      </c>
      <c r="AI24" s="51">
        <v>0.19500000000000001</v>
      </c>
      <c r="AJ24" s="51">
        <v>0.187</v>
      </c>
      <c r="AK24" s="51">
        <v>0.18099999999999999</v>
      </c>
      <c r="AL24" s="51">
        <v>0.18099999999999999</v>
      </c>
      <c r="AM24" s="51">
        <v>0.34899999999999998</v>
      </c>
      <c r="AN24" s="51">
        <v>0.2</v>
      </c>
      <c r="AO24" s="51">
        <v>0.16700000000000001</v>
      </c>
      <c r="AP24" s="51" t="s">
        <v>38</v>
      </c>
      <c r="AQ24" s="51">
        <v>0.22</v>
      </c>
      <c r="AR24" s="51">
        <v>0.20300000000000001</v>
      </c>
      <c r="AS24" s="51" t="s">
        <v>38</v>
      </c>
      <c r="AT24" s="51">
        <v>0.185</v>
      </c>
      <c r="AU24" s="51">
        <v>0.17</v>
      </c>
      <c r="AV24" s="51">
        <v>0.16800000000000001</v>
      </c>
      <c r="AW24" s="51">
        <v>0.14499999999999999</v>
      </c>
      <c r="AX24" s="51">
        <v>0.15</v>
      </c>
      <c r="AY24" s="51">
        <v>0.23599999999999999</v>
      </c>
      <c r="AZ24" s="51">
        <v>0.22700000000000001</v>
      </c>
      <c r="BA24" s="51">
        <v>0.25800000000000001</v>
      </c>
      <c r="BB24" s="52" t="s">
        <v>38</v>
      </c>
      <c r="BC24" s="51">
        <v>0.27549999999999997</v>
      </c>
      <c r="BD24" s="79" t="s">
        <v>38</v>
      </c>
      <c r="BE24" s="79" t="s">
        <v>38</v>
      </c>
      <c r="BF24" s="79" t="s">
        <v>38</v>
      </c>
      <c r="BG24" s="51">
        <v>0.32550000000000001</v>
      </c>
      <c r="BH24" s="38">
        <v>0.223</v>
      </c>
      <c r="BI24" s="38">
        <v>0.223</v>
      </c>
      <c r="BJ24" s="38">
        <v>0.23350000000000001</v>
      </c>
      <c r="BK24" s="38">
        <v>0.24199999999999999</v>
      </c>
      <c r="BL24" s="38">
        <v>0.2545</v>
      </c>
      <c r="BM24" s="38">
        <v>0.24349999999999999</v>
      </c>
      <c r="BN24" s="79" t="s">
        <v>38</v>
      </c>
      <c r="BO24" s="51">
        <v>0.2555</v>
      </c>
      <c r="BP24" s="38">
        <v>0.22950000000000001</v>
      </c>
      <c r="BQ24" s="38">
        <v>0.19500000000000001</v>
      </c>
      <c r="BR24" s="56">
        <v>0.20550000000000002</v>
      </c>
      <c r="BS24" s="56" t="s">
        <v>38</v>
      </c>
      <c r="BT24" s="56">
        <v>0.1905</v>
      </c>
      <c r="BU24" s="56" t="s">
        <v>38</v>
      </c>
      <c r="BV24" s="56">
        <v>0.17599999999999999</v>
      </c>
      <c r="BW24" s="42">
        <v>0.184</v>
      </c>
      <c r="BX24" s="42">
        <v>0.19850000000000001</v>
      </c>
      <c r="BY24" s="85" t="s">
        <v>38</v>
      </c>
      <c r="BZ24" s="85" t="s">
        <v>38</v>
      </c>
      <c r="CA24" s="90" t="s">
        <v>38</v>
      </c>
    </row>
    <row r="25" spans="1:79">
      <c r="A25" s="64">
        <v>14</v>
      </c>
      <c r="B25" s="82">
        <v>254403.568317</v>
      </c>
      <c r="C25" s="82">
        <v>4505486.8415299999</v>
      </c>
      <c r="D25" s="78" t="s">
        <v>38</v>
      </c>
      <c r="E25" s="79" t="s">
        <v>38</v>
      </c>
      <c r="F25" s="79" t="s">
        <v>38</v>
      </c>
      <c r="G25" s="79" t="s">
        <v>38</v>
      </c>
      <c r="H25" s="79" t="s">
        <v>38</v>
      </c>
      <c r="I25" s="79" t="s">
        <v>38</v>
      </c>
      <c r="J25" s="79" t="s">
        <v>38</v>
      </c>
      <c r="K25" s="79" t="s">
        <v>38</v>
      </c>
      <c r="L25" s="79" t="s">
        <v>38</v>
      </c>
      <c r="M25" s="79" t="s">
        <v>38</v>
      </c>
      <c r="N25" s="79" t="s">
        <v>38</v>
      </c>
      <c r="O25" s="79" t="s">
        <v>38</v>
      </c>
      <c r="P25" s="79" t="s">
        <v>38</v>
      </c>
      <c r="Q25" s="79" t="s">
        <v>38</v>
      </c>
      <c r="R25" s="79" t="s">
        <v>38</v>
      </c>
      <c r="S25" s="79" t="s">
        <v>38</v>
      </c>
      <c r="T25" s="79" t="s">
        <v>38</v>
      </c>
      <c r="U25" s="79" t="s">
        <v>38</v>
      </c>
      <c r="V25" s="79" t="s">
        <v>38</v>
      </c>
      <c r="W25" s="79" t="s">
        <v>38</v>
      </c>
      <c r="X25" s="79" t="s">
        <v>38</v>
      </c>
      <c r="Y25" s="79" t="s">
        <v>38</v>
      </c>
      <c r="Z25" s="79" t="s">
        <v>38</v>
      </c>
      <c r="AA25" s="79" t="s">
        <v>38</v>
      </c>
      <c r="AB25" s="79" t="s">
        <v>38</v>
      </c>
      <c r="AC25" s="79" t="s">
        <v>38</v>
      </c>
      <c r="AD25" s="79" t="s">
        <v>38</v>
      </c>
      <c r="AE25" s="79" t="s">
        <v>38</v>
      </c>
      <c r="AF25" s="79" t="s">
        <v>38</v>
      </c>
      <c r="AG25" s="79" t="s">
        <v>38</v>
      </c>
      <c r="AH25" s="79" t="s">
        <v>38</v>
      </c>
      <c r="AI25" s="79" t="s">
        <v>38</v>
      </c>
      <c r="AJ25" s="79" t="s">
        <v>38</v>
      </c>
      <c r="AK25" s="79" t="s">
        <v>38</v>
      </c>
      <c r="AL25" s="79" t="s">
        <v>38</v>
      </c>
      <c r="AM25" s="79" t="s">
        <v>38</v>
      </c>
      <c r="AN25" s="79" t="s">
        <v>38</v>
      </c>
      <c r="AO25" s="79" t="s">
        <v>38</v>
      </c>
      <c r="AP25" s="79" t="s">
        <v>38</v>
      </c>
      <c r="AQ25" s="79" t="s">
        <v>38</v>
      </c>
      <c r="AR25" s="79" t="s">
        <v>38</v>
      </c>
      <c r="AS25" s="79" t="s">
        <v>38</v>
      </c>
      <c r="AT25" s="79" t="s">
        <v>38</v>
      </c>
      <c r="AU25" s="79" t="s">
        <v>38</v>
      </c>
      <c r="AV25" s="79" t="s">
        <v>38</v>
      </c>
      <c r="AW25" s="79" t="s">
        <v>38</v>
      </c>
      <c r="AX25" s="79" t="s">
        <v>38</v>
      </c>
      <c r="AY25" s="79" t="s">
        <v>38</v>
      </c>
      <c r="AZ25" s="79" t="s">
        <v>38</v>
      </c>
      <c r="BA25" s="79" t="s">
        <v>38</v>
      </c>
      <c r="BB25" s="79" t="s">
        <v>38</v>
      </c>
      <c r="BC25" s="79" t="s">
        <v>38</v>
      </c>
      <c r="BD25" s="79" t="s">
        <v>38</v>
      </c>
      <c r="BE25" s="79" t="s">
        <v>38</v>
      </c>
      <c r="BF25" s="79" t="s">
        <v>38</v>
      </c>
      <c r="BG25" s="79" t="s">
        <v>38</v>
      </c>
      <c r="BH25" s="79" t="s">
        <v>38</v>
      </c>
      <c r="BI25" s="79" t="s">
        <v>38</v>
      </c>
      <c r="BJ25" s="79" t="s">
        <v>38</v>
      </c>
      <c r="BK25" s="79" t="s">
        <v>38</v>
      </c>
      <c r="BL25" s="79" t="s">
        <v>38</v>
      </c>
      <c r="BM25" s="79" t="s">
        <v>38</v>
      </c>
      <c r="BN25" s="79" t="s">
        <v>38</v>
      </c>
      <c r="BO25" s="79" t="s">
        <v>38</v>
      </c>
      <c r="BP25" s="79" t="s">
        <v>38</v>
      </c>
      <c r="BQ25" s="79" t="s">
        <v>38</v>
      </c>
      <c r="BR25" s="79" t="s">
        <v>38</v>
      </c>
      <c r="BS25" s="79" t="s">
        <v>38</v>
      </c>
      <c r="BT25" s="79" t="s">
        <v>38</v>
      </c>
      <c r="BU25" s="79" t="s">
        <v>38</v>
      </c>
      <c r="BV25" s="79" t="s">
        <v>38</v>
      </c>
      <c r="BW25" s="79" t="s">
        <v>38</v>
      </c>
      <c r="BX25" s="79" t="s">
        <v>38</v>
      </c>
      <c r="BY25" s="85" t="s">
        <v>38</v>
      </c>
      <c r="BZ25" s="85" t="s">
        <v>38</v>
      </c>
      <c r="CA25" s="90" t="s">
        <v>38</v>
      </c>
    </row>
    <row r="26" spans="1:79">
      <c r="A26" s="64">
        <v>15</v>
      </c>
      <c r="B26" s="82">
        <v>254457.11685300001</v>
      </c>
      <c r="C26" s="82">
        <v>4505584.8307699999</v>
      </c>
      <c r="D26" s="78">
        <v>0.38800000000000001</v>
      </c>
      <c r="E26" s="79">
        <v>0.33400000000000002</v>
      </c>
      <c r="F26" s="79">
        <v>0.36799999999999999</v>
      </c>
      <c r="G26" s="79">
        <v>0.36849999999999999</v>
      </c>
      <c r="H26" s="79" t="s">
        <v>38</v>
      </c>
      <c r="I26" s="79">
        <v>0.29049999999999998</v>
      </c>
      <c r="J26" s="79">
        <v>0.29299999999999998</v>
      </c>
      <c r="K26" s="79">
        <v>0.2465</v>
      </c>
      <c r="L26" s="79" t="s">
        <v>38</v>
      </c>
      <c r="M26" s="79" t="s">
        <v>38</v>
      </c>
      <c r="N26" s="79" t="s">
        <v>38</v>
      </c>
      <c r="O26" s="67">
        <v>0.2205</v>
      </c>
      <c r="P26" s="79" t="s">
        <v>38</v>
      </c>
      <c r="Q26" s="79" t="s">
        <v>38</v>
      </c>
      <c r="R26" s="79" t="s">
        <v>38</v>
      </c>
      <c r="S26" s="79" t="s">
        <v>38</v>
      </c>
      <c r="T26" s="51">
        <v>0.45400000000000001</v>
      </c>
      <c r="U26" s="51">
        <v>0.48499999999999999</v>
      </c>
      <c r="V26" s="51">
        <v>0.47699999999999998</v>
      </c>
      <c r="W26" s="51">
        <v>0.52200000000000002</v>
      </c>
      <c r="X26" s="51">
        <v>0.51400000000000001</v>
      </c>
      <c r="Y26" s="51">
        <v>0.45600000000000002</v>
      </c>
      <c r="Z26" s="51">
        <v>0.45</v>
      </c>
      <c r="AA26" s="51">
        <v>0.50900000000000001</v>
      </c>
      <c r="AB26" s="51">
        <v>0.51400000000000001</v>
      </c>
      <c r="AC26" s="51">
        <v>0.69399999999999995</v>
      </c>
      <c r="AD26" s="51">
        <v>0.39300000000000002</v>
      </c>
      <c r="AE26" s="51">
        <v>0.375</v>
      </c>
      <c r="AF26" s="51">
        <v>0.40400000000000003</v>
      </c>
      <c r="AG26" s="51">
        <v>0.34100000000000003</v>
      </c>
      <c r="AH26" s="51">
        <v>0.30399999999999999</v>
      </c>
      <c r="AI26" s="51">
        <v>0.32900000000000001</v>
      </c>
      <c r="AJ26" s="51">
        <v>0.33700000000000002</v>
      </c>
      <c r="AK26" s="51">
        <v>0.33200000000000002</v>
      </c>
      <c r="AL26" s="51">
        <v>0.33200000000000002</v>
      </c>
      <c r="AM26" s="51">
        <v>0.46800000000000003</v>
      </c>
      <c r="AN26" s="51">
        <v>0.375</v>
      </c>
      <c r="AO26" s="51">
        <v>0.318</v>
      </c>
      <c r="AP26" s="51">
        <v>0.28599999999999998</v>
      </c>
      <c r="AQ26" s="51">
        <v>0.32100000000000001</v>
      </c>
      <c r="AR26" s="51">
        <v>0.30599999999999999</v>
      </c>
      <c r="AS26" s="51" t="s">
        <v>38</v>
      </c>
      <c r="AT26" s="51" t="s">
        <v>38</v>
      </c>
      <c r="AU26" s="51">
        <v>0.26400000000000001</v>
      </c>
      <c r="AV26" s="51" t="s">
        <v>38</v>
      </c>
      <c r="AW26" s="51">
        <v>0.23799999999999999</v>
      </c>
      <c r="AX26" s="51">
        <v>0.22500000000000001</v>
      </c>
      <c r="AY26" s="51">
        <v>0.224</v>
      </c>
      <c r="AZ26" s="51">
        <v>0.25900000000000001</v>
      </c>
      <c r="BA26" s="51">
        <v>0.316</v>
      </c>
      <c r="BB26" s="52">
        <v>0.27100000000000002</v>
      </c>
      <c r="BC26" s="51">
        <v>0.30349999999999999</v>
      </c>
      <c r="BD26" s="79" t="s">
        <v>38</v>
      </c>
      <c r="BE26" s="53">
        <v>0.3155</v>
      </c>
      <c r="BF26" s="53">
        <v>0.29649999999999999</v>
      </c>
      <c r="BG26" s="51">
        <v>0.35199999999999998</v>
      </c>
      <c r="BH26" s="38">
        <v>0.33750000000000002</v>
      </c>
      <c r="BI26" s="38">
        <v>0.35399999999999998</v>
      </c>
      <c r="BJ26" s="38">
        <v>0.39550000000000002</v>
      </c>
      <c r="BK26" s="38">
        <v>0.35399999999999998</v>
      </c>
      <c r="BL26" s="38">
        <v>0.35949999999999999</v>
      </c>
      <c r="BM26" s="38">
        <v>0.40349999999999997</v>
      </c>
      <c r="BN26" s="51">
        <v>0.40049999999999997</v>
      </c>
      <c r="BO26" s="51">
        <v>0.38200000000000001</v>
      </c>
      <c r="BP26" s="38">
        <v>0.34499999999999997</v>
      </c>
      <c r="BQ26" s="38">
        <v>0.28849999999999998</v>
      </c>
      <c r="BR26" s="56">
        <v>0.28949999999999998</v>
      </c>
      <c r="BS26" s="56">
        <v>0.28849999999999998</v>
      </c>
      <c r="BT26" s="56">
        <v>0.28400000000000003</v>
      </c>
      <c r="BU26" s="42">
        <v>0.26650000000000001</v>
      </c>
      <c r="BV26" s="56">
        <v>0.26050000000000001</v>
      </c>
      <c r="BW26" s="42">
        <v>0.27350000000000002</v>
      </c>
      <c r="BX26" s="42" t="s">
        <v>38</v>
      </c>
      <c r="BY26" s="85" t="s">
        <v>38</v>
      </c>
      <c r="BZ26" s="85" t="s">
        <v>38</v>
      </c>
      <c r="CA26" s="90" t="s">
        <v>38</v>
      </c>
    </row>
    <row r="27" spans="1:79">
      <c r="A27" s="64" t="s">
        <v>10</v>
      </c>
      <c r="B27" s="82">
        <v>254458.34024699999</v>
      </c>
      <c r="C27" s="82">
        <v>4505584.0551300002</v>
      </c>
      <c r="D27" s="78">
        <v>0.36066666666666664</v>
      </c>
      <c r="E27" s="79">
        <v>0.38650000000000001</v>
      </c>
      <c r="F27" s="79">
        <v>0.42599999999999999</v>
      </c>
      <c r="G27" s="79">
        <v>0.43</v>
      </c>
      <c r="H27" s="79">
        <v>0.40200000000000002</v>
      </c>
      <c r="I27" s="79">
        <v>0.36049999999999999</v>
      </c>
      <c r="J27" s="79">
        <v>0.35150000000000003</v>
      </c>
      <c r="K27" s="79">
        <v>0.27650000000000002</v>
      </c>
      <c r="L27" s="79">
        <v>0.29349999999999998</v>
      </c>
      <c r="M27" s="79">
        <v>0.25650000000000001</v>
      </c>
      <c r="N27" s="67">
        <v>0.27100000000000002</v>
      </c>
      <c r="O27" s="67">
        <v>0.23400000000000001</v>
      </c>
      <c r="P27" s="67">
        <v>0.24249999999999999</v>
      </c>
      <c r="Q27" s="67">
        <v>0.315</v>
      </c>
      <c r="R27" s="67">
        <v>0.38350000000000001</v>
      </c>
      <c r="S27" s="67">
        <v>0.38200000000000001</v>
      </c>
      <c r="T27" s="51">
        <v>0.45600000000000002</v>
      </c>
      <c r="U27" s="51">
        <v>0.47299999999999998</v>
      </c>
      <c r="V27" s="51">
        <v>0.46300000000000002</v>
      </c>
      <c r="W27" s="51">
        <v>0.56000000000000005</v>
      </c>
      <c r="X27" s="51">
        <v>0.46200000000000002</v>
      </c>
      <c r="Y27" s="51" t="s">
        <v>38</v>
      </c>
      <c r="Z27" s="51">
        <v>0.53300000000000003</v>
      </c>
      <c r="AA27" s="51">
        <v>0.504</v>
      </c>
      <c r="AB27" s="51">
        <v>0.47799999999999998</v>
      </c>
      <c r="AC27" s="51">
        <v>0.501</v>
      </c>
      <c r="AD27" s="51">
        <v>0.48299999999999998</v>
      </c>
      <c r="AE27" s="51" t="s">
        <v>38</v>
      </c>
      <c r="AF27" s="51">
        <v>0.33900000000000002</v>
      </c>
      <c r="AG27" s="51">
        <v>0.30499999999999999</v>
      </c>
      <c r="AH27" s="51">
        <v>0.28299999999999997</v>
      </c>
      <c r="AI27" s="51">
        <v>0.309</v>
      </c>
      <c r="AJ27" s="51" t="s">
        <v>38</v>
      </c>
      <c r="AK27" s="51">
        <v>0.25600000000000001</v>
      </c>
      <c r="AL27" s="51">
        <v>0.25600000000000001</v>
      </c>
      <c r="AM27" s="51">
        <v>0.49399999999999999</v>
      </c>
      <c r="AN27" s="51">
        <v>0.36599999999999999</v>
      </c>
      <c r="AO27" s="51" t="s">
        <v>38</v>
      </c>
      <c r="AP27" s="51" t="s">
        <v>38</v>
      </c>
      <c r="AQ27" s="51">
        <v>0.42599999999999999</v>
      </c>
      <c r="AR27" s="51" t="s">
        <v>38</v>
      </c>
      <c r="AS27" s="51">
        <v>0.41699999999999998</v>
      </c>
      <c r="AT27" s="51" t="s">
        <v>38</v>
      </c>
      <c r="AU27" s="51">
        <v>0.377</v>
      </c>
      <c r="AV27" s="51" t="s">
        <v>38</v>
      </c>
      <c r="AW27" s="51" t="s">
        <v>38</v>
      </c>
      <c r="AX27" s="51" t="s">
        <v>38</v>
      </c>
      <c r="AY27" s="51">
        <v>0.33600000000000002</v>
      </c>
      <c r="AZ27" s="51">
        <v>0.316</v>
      </c>
      <c r="BA27" s="51">
        <v>0.34300000000000003</v>
      </c>
      <c r="BB27" s="52">
        <v>0.35599999999999998</v>
      </c>
      <c r="BC27" s="51">
        <v>0.38750000000000001</v>
      </c>
      <c r="BD27" s="79" t="s">
        <v>38</v>
      </c>
      <c r="BE27" s="53">
        <v>0.39500000000000002</v>
      </c>
      <c r="BF27" s="53">
        <v>0.38200000000000001</v>
      </c>
      <c r="BG27" s="51">
        <v>0.41649999999999998</v>
      </c>
      <c r="BH27" s="38" t="s">
        <v>38</v>
      </c>
      <c r="BI27" s="38" t="s">
        <v>38</v>
      </c>
      <c r="BJ27" s="55" t="s">
        <v>38</v>
      </c>
      <c r="BK27" s="38">
        <v>0.4</v>
      </c>
      <c r="BL27" s="38">
        <v>0.39300000000000002</v>
      </c>
      <c r="BM27" s="55" t="s">
        <v>38</v>
      </c>
      <c r="BN27" s="55" t="s">
        <v>38</v>
      </c>
      <c r="BO27" s="55" t="s">
        <v>38</v>
      </c>
      <c r="BP27" s="55" t="s">
        <v>38</v>
      </c>
      <c r="BQ27" s="38" t="s">
        <v>38</v>
      </c>
      <c r="BR27" s="56" t="s">
        <v>38</v>
      </c>
      <c r="BS27" s="56" t="s">
        <v>38</v>
      </c>
      <c r="BT27" s="56">
        <v>0.82899999999999996</v>
      </c>
      <c r="BU27" s="42">
        <v>0.67600000000000005</v>
      </c>
      <c r="BV27" s="56" t="s">
        <v>38</v>
      </c>
      <c r="BW27" s="42">
        <v>0.51200000000000001</v>
      </c>
      <c r="BX27" s="42">
        <v>0.8085</v>
      </c>
      <c r="BY27" s="85">
        <f>(0.417+0.413)/2</f>
        <v>0.41499999999999998</v>
      </c>
      <c r="BZ27" s="85">
        <f>(0.375+0.377)/2</f>
        <v>0.376</v>
      </c>
      <c r="CA27" s="90">
        <v>0.54449999999999998</v>
      </c>
    </row>
    <row r="28" spans="1:79">
      <c r="A28" s="64" t="s">
        <v>11</v>
      </c>
      <c r="B28" s="82">
        <v>254456.479143</v>
      </c>
      <c r="C28" s="82">
        <v>4505583.56623</v>
      </c>
      <c r="D28" s="78">
        <v>0.36049999999999999</v>
      </c>
      <c r="E28" s="79">
        <v>0.34299999999999997</v>
      </c>
      <c r="F28" s="79">
        <v>0.39</v>
      </c>
      <c r="G28" s="79">
        <v>0.36399999999999999</v>
      </c>
      <c r="H28" s="79">
        <v>0.3705</v>
      </c>
      <c r="I28" s="79">
        <v>0.30549999999999999</v>
      </c>
      <c r="J28" s="79">
        <v>0.30399999999999999</v>
      </c>
      <c r="K28" s="79">
        <v>0.26150000000000001</v>
      </c>
      <c r="L28" s="79">
        <v>0.26150000000000001</v>
      </c>
      <c r="M28" s="79">
        <v>0.23399999999999999</v>
      </c>
      <c r="N28" s="67">
        <v>0.24299999999999999</v>
      </c>
      <c r="O28" s="67">
        <v>0.23299999999999998</v>
      </c>
      <c r="P28" s="67" t="s">
        <v>38</v>
      </c>
      <c r="Q28" s="67">
        <v>0.28400000000000003</v>
      </c>
      <c r="R28" s="79" t="s">
        <v>38</v>
      </c>
      <c r="S28" s="79" t="s">
        <v>38</v>
      </c>
      <c r="T28" s="51">
        <v>0.44600000000000001</v>
      </c>
      <c r="U28" s="51">
        <v>0.44</v>
      </c>
      <c r="V28" s="51">
        <v>0.437</v>
      </c>
      <c r="W28" s="51">
        <v>0.501</v>
      </c>
      <c r="X28" s="51">
        <v>0.44400000000000001</v>
      </c>
      <c r="Y28" s="51" t="s">
        <v>38</v>
      </c>
      <c r="Z28" s="51">
        <v>0.46</v>
      </c>
      <c r="AA28" s="51">
        <v>0.47299999999999998</v>
      </c>
      <c r="AB28" s="51">
        <v>0.47099999999999997</v>
      </c>
      <c r="AC28" s="51">
        <v>0.52300000000000002</v>
      </c>
      <c r="AD28" s="51">
        <v>0.41799999999999998</v>
      </c>
      <c r="AE28" s="51" t="s">
        <v>38</v>
      </c>
      <c r="AF28" s="51">
        <v>0.39800000000000002</v>
      </c>
      <c r="AG28" s="51">
        <v>0.32400000000000001</v>
      </c>
      <c r="AH28" s="51">
        <v>0.32</v>
      </c>
      <c r="AI28" s="51">
        <v>0.34300000000000003</v>
      </c>
      <c r="AJ28" s="51" t="s">
        <v>38</v>
      </c>
      <c r="AK28" s="51">
        <v>0.29599999999999999</v>
      </c>
      <c r="AL28" s="51">
        <v>0.29599999999999999</v>
      </c>
      <c r="AM28" s="51">
        <v>0.437</v>
      </c>
      <c r="AN28" s="51">
        <v>0.33400000000000002</v>
      </c>
      <c r="AO28" s="51" t="s">
        <v>38</v>
      </c>
      <c r="AP28" s="51" t="s">
        <v>38</v>
      </c>
      <c r="AQ28" s="51">
        <v>0.38700000000000001</v>
      </c>
      <c r="AR28" s="51" t="s">
        <v>38</v>
      </c>
      <c r="AS28" s="51">
        <v>0.35599999999999998</v>
      </c>
      <c r="AT28" s="51" t="s">
        <v>38</v>
      </c>
      <c r="AU28" s="51">
        <v>0.311</v>
      </c>
      <c r="AV28" s="51" t="s">
        <v>38</v>
      </c>
      <c r="AW28" s="51" t="s">
        <v>38</v>
      </c>
      <c r="AX28" s="51" t="s">
        <v>38</v>
      </c>
      <c r="AY28" s="51">
        <v>0.17199999999999999</v>
      </c>
      <c r="AZ28" s="51">
        <v>0.22700000000000001</v>
      </c>
      <c r="BA28" s="51">
        <v>0.33600000000000002</v>
      </c>
      <c r="BB28" s="52">
        <v>0.32350000000000001</v>
      </c>
      <c r="BC28" s="51">
        <v>0.33750000000000002</v>
      </c>
      <c r="BD28" s="79" t="s">
        <v>38</v>
      </c>
      <c r="BE28" s="53">
        <v>0.36849999999999999</v>
      </c>
      <c r="BF28" s="53">
        <v>0.29800000000000004</v>
      </c>
      <c r="BG28" s="51">
        <v>0.41299999999999998</v>
      </c>
      <c r="BH28" s="38" t="s">
        <v>38</v>
      </c>
      <c r="BI28" s="38" t="s">
        <v>38</v>
      </c>
      <c r="BJ28" s="55" t="s">
        <v>38</v>
      </c>
      <c r="BK28" s="38">
        <v>0.35599999999999998</v>
      </c>
      <c r="BL28" s="38">
        <v>0.36</v>
      </c>
      <c r="BM28" s="55" t="s">
        <v>38</v>
      </c>
      <c r="BN28" s="55" t="s">
        <v>38</v>
      </c>
      <c r="BO28" s="55" t="s">
        <v>38</v>
      </c>
      <c r="BP28" s="55" t="s">
        <v>38</v>
      </c>
      <c r="BQ28" s="38">
        <v>0.30099999999999999</v>
      </c>
      <c r="BR28" s="56">
        <v>0.308</v>
      </c>
      <c r="BS28" s="56">
        <v>0.30349999999999999</v>
      </c>
      <c r="BT28" s="56">
        <v>0.3135</v>
      </c>
      <c r="BU28" s="42">
        <v>0.28800000000000003</v>
      </c>
      <c r="BV28" s="56" t="s">
        <v>38</v>
      </c>
      <c r="BW28" s="42">
        <v>0.8234999999999999</v>
      </c>
      <c r="BX28" s="42" t="s">
        <v>38</v>
      </c>
      <c r="BY28" s="85">
        <f>(0.382+0.359)/2</f>
        <v>0.3705</v>
      </c>
      <c r="BZ28" s="85">
        <f>(0.36+0.347)/2</f>
        <v>0.35349999999999998</v>
      </c>
      <c r="CA28" s="90">
        <v>0.496</v>
      </c>
    </row>
    <row r="29" spans="1:79">
      <c r="A29" s="64" t="s">
        <v>12</v>
      </c>
      <c r="B29" s="82">
        <v>254455.93775099999</v>
      </c>
      <c r="C29" s="82">
        <v>4505585.4930299995</v>
      </c>
      <c r="D29" s="78">
        <v>0.35649999999999998</v>
      </c>
      <c r="E29" s="79">
        <v>0.33450000000000002</v>
      </c>
      <c r="F29" s="79">
        <v>0.36749999999999999</v>
      </c>
      <c r="G29" s="79">
        <v>0.35849999999999999</v>
      </c>
      <c r="H29" s="79">
        <v>0.34949999999999998</v>
      </c>
      <c r="I29" s="79">
        <v>0.3175</v>
      </c>
      <c r="J29" s="79">
        <v>0.317</v>
      </c>
      <c r="K29" s="79">
        <v>0.27</v>
      </c>
      <c r="L29" s="79">
        <v>0.27650000000000002</v>
      </c>
      <c r="M29" s="79">
        <v>0.2535</v>
      </c>
      <c r="N29" s="67">
        <v>0.2495</v>
      </c>
      <c r="O29" s="67">
        <v>0.24349999999999999</v>
      </c>
      <c r="P29" s="67" t="s">
        <v>38</v>
      </c>
      <c r="Q29" s="67">
        <v>0.28999999999999998</v>
      </c>
      <c r="R29" s="79" t="s">
        <v>38</v>
      </c>
      <c r="S29" s="79" t="s">
        <v>38</v>
      </c>
      <c r="T29" s="51">
        <v>0.4</v>
      </c>
      <c r="U29" s="51">
        <v>0.39200000000000002</v>
      </c>
      <c r="V29" s="51">
        <v>0.38800000000000001</v>
      </c>
      <c r="W29" s="51">
        <v>0.43099999999999999</v>
      </c>
      <c r="X29" s="51">
        <v>0.41099999999999998</v>
      </c>
      <c r="Y29" s="51" t="s">
        <v>38</v>
      </c>
      <c r="Z29" s="51">
        <v>0.39300000000000002</v>
      </c>
      <c r="AA29" s="51">
        <v>0.40699999999999997</v>
      </c>
      <c r="AB29" s="51">
        <v>0.40500000000000003</v>
      </c>
      <c r="AC29" s="51">
        <v>0.436</v>
      </c>
      <c r="AD29" s="51">
        <v>0.39400000000000002</v>
      </c>
      <c r="AE29" s="51" t="s">
        <v>38</v>
      </c>
      <c r="AF29" s="51">
        <v>0.30599999999999999</v>
      </c>
      <c r="AG29" s="51">
        <v>0.311</v>
      </c>
      <c r="AH29" s="51">
        <v>0.28699999999999998</v>
      </c>
      <c r="AI29" s="51">
        <v>0.29799999999999999</v>
      </c>
      <c r="AJ29" s="51" t="s">
        <v>38</v>
      </c>
      <c r="AK29" s="51">
        <v>0.30299999999999999</v>
      </c>
      <c r="AL29" s="51">
        <v>0.30299999999999999</v>
      </c>
      <c r="AM29" s="51">
        <v>0.44400000000000001</v>
      </c>
      <c r="AN29" s="51">
        <v>0.308</v>
      </c>
      <c r="AO29" s="51" t="s">
        <v>38</v>
      </c>
      <c r="AP29" s="51" t="s">
        <v>38</v>
      </c>
      <c r="AQ29" s="51">
        <v>0.4</v>
      </c>
      <c r="AR29" s="51" t="s">
        <v>38</v>
      </c>
      <c r="AS29" s="51">
        <v>0.35899999999999999</v>
      </c>
      <c r="AT29" s="51" t="s">
        <v>38</v>
      </c>
      <c r="AU29" s="51">
        <v>0.315</v>
      </c>
      <c r="AV29" s="51" t="s">
        <v>38</v>
      </c>
      <c r="AW29" s="51" t="s">
        <v>38</v>
      </c>
      <c r="AX29" s="51" t="s">
        <v>38</v>
      </c>
      <c r="AY29" s="51">
        <v>0.252</v>
      </c>
      <c r="AZ29" s="51">
        <v>0.25800000000000001</v>
      </c>
      <c r="BA29" s="51">
        <v>0.35199999999999998</v>
      </c>
      <c r="BB29" s="52">
        <v>0.32350000000000001</v>
      </c>
      <c r="BC29" s="51">
        <v>0.33799999999999997</v>
      </c>
      <c r="BD29" s="79" t="s">
        <v>38</v>
      </c>
      <c r="BE29" s="53">
        <v>0.3695</v>
      </c>
      <c r="BF29" s="53">
        <v>0.25950000000000001</v>
      </c>
      <c r="BG29" s="51">
        <v>0.38250000000000001</v>
      </c>
      <c r="BH29" s="38" t="s">
        <v>38</v>
      </c>
      <c r="BI29" s="38" t="s">
        <v>38</v>
      </c>
      <c r="BJ29" s="55" t="s">
        <v>38</v>
      </c>
      <c r="BK29" s="38">
        <v>0.36249999999999999</v>
      </c>
      <c r="BL29" s="38">
        <v>0.35549999999999998</v>
      </c>
      <c r="BM29" s="55" t="s">
        <v>38</v>
      </c>
      <c r="BN29" s="55" t="s">
        <v>38</v>
      </c>
      <c r="BO29" s="55" t="s">
        <v>38</v>
      </c>
      <c r="BP29" s="55" t="s">
        <v>38</v>
      </c>
      <c r="BQ29" s="38">
        <v>0.33200000000000002</v>
      </c>
      <c r="BR29" s="56">
        <v>0.32100000000000001</v>
      </c>
      <c r="BS29" s="56">
        <v>0.32300000000000001</v>
      </c>
      <c r="BT29" s="56">
        <v>0.33550000000000002</v>
      </c>
      <c r="BU29" s="42">
        <v>0.29499999999999998</v>
      </c>
      <c r="BV29" s="56" t="s">
        <v>38</v>
      </c>
      <c r="BW29" s="42">
        <v>0.28899999999999998</v>
      </c>
      <c r="BX29" s="42">
        <v>0.28600000000000003</v>
      </c>
      <c r="BY29" s="85">
        <f>(0.366+0.355)/2</f>
        <v>0.36049999999999999</v>
      </c>
      <c r="BZ29" s="85">
        <f>(0.352+0.354)/2</f>
        <v>0.35299999999999998</v>
      </c>
      <c r="CA29" s="90">
        <v>0.51949999999999996</v>
      </c>
    </row>
    <row r="30" spans="1:79">
      <c r="A30" s="64" t="s">
        <v>13</v>
      </c>
      <c r="B30" s="82">
        <v>254457.878004</v>
      </c>
      <c r="C30" s="82">
        <v>4505586.0580200003</v>
      </c>
      <c r="D30" s="78">
        <v>0.35549999999999998</v>
      </c>
      <c r="E30" s="79">
        <v>0.34150000000000003</v>
      </c>
      <c r="F30" s="79">
        <v>0.36149999999999999</v>
      </c>
      <c r="G30" s="79" t="s">
        <v>38</v>
      </c>
      <c r="H30" s="79">
        <v>0.35949999999999999</v>
      </c>
      <c r="I30" s="79">
        <v>0.31850000000000001</v>
      </c>
      <c r="J30" s="79">
        <v>0.31850000000000001</v>
      </c>
      <c r="K30" s="79">
        <v>0.28699999999999998</v>
      </c>
      <c r="L30" s="79">
        <v>0.28749999999999998</v>
      </c>
      <c r="M30" s="79">
        <v>0.27650000000000002</v>
      </c>
      <c r="N30" s="67">
        <v>0.26950000000000002</v>
      </c>
      <c r="O30" s="67">
        <v>0.27050000000000002</v>
      </c>
      <c r="P30" s="67" t="s">
        <v>38</v>
      </c>
      <c r="Q30" s="67">
        <v>0.29249999999999998</v>
      </c>
      <c r="R30" s="79" t="s">
        <v>38</v>
      </c>
      <c r="S30" s="79" t="s">
        <v>38</v>
      </c>
      <c r="T30" s="51">
        <v>0.40500000000000003</v>
      </c>
      <c r="U30" s="51">
        <v>0.40100000000000002</v>
      </c>
      <c r="V30" s="51">
        <v>0.40200000000000002</v>
      </c>
      <c r="W30" s="51">
        <v>0.442</v>
      </c>
      <c r="X30" s="51">
        <v>0.38600000000000001</v>
      </c>
      <c r="Y30" s="51" t="s">
        <v>38</v>
      </c>
      <c r="Z30" s="51">
        <v>0.41299999999999998</v>
      </c>
      <c r="AA30" s="51">
        <v>0.41899999999999998</v>
      </c>
      <c r="AB30" s="51">
        <v>0.375</v>
      </c>
      <c r="AC30" s="51">
        <v>0.41599999999999998</v>
      </c>
      <c r="AD30" s="51">
        <v>0.38600000000000001</v>
      </c>
      <c r="AE30" s="51" t="s">
        <v>38</v>
      </c>
      <c r="AF30" s="51">
        <v>0.38500000000000001</v>
      </c>
      <c r="AG30" s="51">
        <v>0.32600000000000001</v>
      </c>
      <c r="AH30" s="51">
        <v>0.29799999999999999</v>
      </c>
      <c r="AI30" s="51">
        <v>0.33800000000000002</v>
      </c>
      <c r="AJ30" s="51" t="s">
        <v>38</v>
      </c>
      <c r="AK30" s="51">
        <v>0.35099999999999998</v>
      </c>
      <c r="AL30" s="51">
        <v>0.35099999999999998</v>
      </c>
      <c r="AM30" s="51">
        <v>0.38800000000000001</v>
      </c>
      <c r="AN30" s="51">
        <v>0.30499999999999999</v>
      </c>
      <c r="AO30" s="51" t="s">
        <v>38</v>
      </c>
      <c r="AP30" s="51" t="s">
        <v>38</v>
      </c>
      <c r="AQ30" s="51">
        <v>0.36</v>
      </c>
      <c r="AR30" s="51" t="s">
        <v>38</v>
      </c>
      <c r="AS30" s="51">
        <v>0.35099999999999998</v>
      </c>
      <c r="AT30" s="51" t="s">
        <v>38</v>
      </c>
      <c r="AU30" s="51">
        <v>0.32300000000000001</v>
      </c>
      <c r="AV30" s="51" t="s">
        <v>38</v>
      </c>
      <c r="AW30" s="51" t="s">
        <v>38</v>
      </c>
      <c r="AX30" s="51" t="s">
        <v>38</v>
      </c>
      <c r="AY30" s="51">
        <v>0.28799999999999998</v>
      </c>
      <c r="AZ30" s="51">
        <v>0.29099999999999998</v>
      </c>
      <c r="BA30" s="51">
        <v>0.32900000000000001</v>
      </c>
      <c r="BB30" s="52">
        <v>0.33200000000000002</v>
      </c>
      <c r="BC30" s="51">
        <v>0.34399999999999997</v>
      </c>
      <c r="BD30" s="79" t="s">
        <v>38</v>
      </c>
      <c r="BE30" s="53">
        <v>0.36099999999999999</v>
      </c>
      <c r="BF30" s="54">
        <v>0.27650000000000002</v>
      </c>
      <c r="BG30" s="51">
        <v>0.39850000000000002</v>
      </c>
      <c r="BH30" s="38" t="s">
        <v>38</v>
      </c>
      <c r="BI30" s="38" t="s">
        <v>38</v>
      </c>
      <c r="BJ30" s="55" t="s">
        <v>38</v>
      </c>
      <c r="BK30" s="38">
        <v>0.38350000000000001</v>
      </c>
      <c r="BL30" s="38">
        <v>0.3755</v>
      </c>
      <c r="BM30" s="55" t="s">
        <v>38</v>
      </c>
      <c r="BN30" s="55" t="s">
        <v>38</v>
      </c>
      <c r="BO30" s="55" t="s">
        <v>38</v>
      </c>
      <c r="BP30" s="55" t="s">
        <v>38</v>
      </c>
      <c r="BQ30" s="38">
        <v>0.33850000000000002</v>
      </c>
      <c r="BR30" s="56">
        <v>0.33450000000000002</v>
      </c>
      <c r="BS30" s="56">
        <v>0.33400000000000002</v>
      </c>
      <c r="BT30" s="56">
        <v>0.35299999999999998</v>
      </c>
      <c r="BU30" s="42">
        <v>0.32</v>
      </c>
      <c r="BV30" s="56" t="s">
        <v>38</v>
      </c>
      <c r="BW30" s="42">
        <v>0.32200000000000001</v>
      </c>
      <c r="BX30" s="42" t="s">
        <v>38</v>
      </c>
      <c r="BY30" s="85">
        <f>(0.367+0.4)/2</f>
        <v>0.38350000000000001</v>
      </c>
      <c r="BZ30" s="85">
        <f>(0.323+0.33)/2</f>
        <v>0.32650000000000001</v>
      </c>
      <c r="CA30" s="90">
        <v>0.48699999999999999</v>
      </c>
    </row>
    <row r="31" spans="1:79">
      <c r="A31" s="64">
        <v>22</v>
      </c>
      <c r="B31" s="82">
        <v>254501.52615300001</v>
      </c>
      <c r="C31" s="82">
        <v>4505594.6980400002</v>
      </c>
      <c r="D31" s="78" t="s">
        <v>38</v>
      </c>
      <c r="E31" s="79">
        <v>0.34550000000000003</v>
      </c>
      <c r="F31" s="78">
        <v>0.35699999999999998</v>
      </c>
      <c r="G31" s="79" t="s">
        <v>38</v>
      </c>
      <c r="H31" s="78">
        <v>0.36199999999999999</v>
      </c>
      <c r="I31" s="78">
        <v>0.3155</v>
      </c>
      <c r="J31" s="78">
        <v>0.3135</v>
      </c>
      <c r="K31" s="78">
        <v>0.152</v>
      </c>
      <c r="L31" s="79" t="s">
        <v>38</v>
      </c>
      <c r="M31" s="79" t="s">
        <v>38</v>
      </c>
      <c r="N31" s="79" t="s">
        <v>38</v>
      </c>
      <c r="O31" s="79" t="s">
        <v>38</v>
      </c>
      <c r="P31" s="67">
        <v>0.17649999999999999</v>
      </c>
      <c r="Q31" s="67">
        <v>0.29649999999999999</v>
      </c>
      <c r="R31" s="67">
        <v>0.33750000000000002</v>
      </c>
      <c r="S31" s="67">
        <v>0.35749999999999998</v>
      </c>
      <c r="T31" s="40">
        <v>0.42599999999999999</v>
      </c>
      <c r="U31" s="40">
        <v>0.41699999999999998</v>
      </c>
      <c r="V31" s="40">
        <v>0.38400000000000001</v>
      </c>
      <c r="W31" s="40">
        <v>0.45600000000000002</v>
      </c>
      <c r="X31" s="40">
        <v>0.38600000000000001</v>
      </c>
      <c r="Y31" s="40">
        <v>0.38800000000000001</v>
      </c>
      <c r="Z31" s="40">
        <v>0.39200000000000002</v>
      </c>
      <c r="AA31" s="40">
        <v>0.38600000000000001</v>
      </c>
      <c r="AB31" s="40">
        <v>0.38800000000000001</v>
      </c>
      <c r="AC31" s="40">
        <v>0.40899999999999997</v>
      </c>
      <c r="AD31" s="40">
        <v>0.44900000000000001</v>
      </c>
      <c r="AE31" s="40">
        <v>0.37</v>
      </c>
      <c r="AF31" s="40">
        <v>0.34200000000000003</v>
      </c>
      <c r="AG31" s="40">
        <v>0.33800000000000002</v>
      </c>
      <c r="AH31" s="40">
        <v>0.318</v>
      </c>
      <c r="AI31" s="40">
        <v>0.31</v>
      </c>
      <c r="AJ31" s="40">
        <v>0.32600000000000001</v>
      </c>
      <c r="AK31" s="40">
        <v>0.36299999999999999</v>
      </c>
      <c r="AL31" s="40">
        <v>0.36299999999999999</v>
      </c>
      <c r="AM31" s="40">
        <v>0.42499999999999999</v>
      </c>
      <c r="AN31" s="40">
        <v>0.318</v>
      </c>
      <c r="AO31" s="40">
        <v>0.28399999999999997</v>
      </c>
      <c r="AP31" s="40">
        <v>0.34799999999999998</v>
      </c>
      <c r="AQ31" s="40">
        <v>0.39200000000000002</v>
      </c>
      <c r="AR31" s="40">
        <v>0.374</v>
      </c>
      <c r="AS31" s="40">
        <v>0.38</v>
      </c>
      <c r="AT31" s="40">
        <v>0.36899999999999999</v>
      </c>
      <c r="AU31" s="40">
        <v>0.36399999999999999</v>
      </c>
      <c r="AV31" s="40">
        <v>0.36299999999999999</v>
      </c>
      <c r="AW31" s="40">
        <v>0.34499999999999997</v>
      </c>
      <c r="AX31" s="40" t="s">
        <v>38</v>
      </c>
      <c r="AY31" s="40">
        <v>0.34799999999999998</v>
      </c>
      <c r="AZ31" s="40">
        <v>0.34599999999999997</v>
      </c>
      <c r="BA31" s="40">
        <v>0.33100000000000002</v>
      </c>
      <c r="BB31" s="49">
        <v>0.26750000000000002</v>
      </c>
      <c r="BC31" s="40">
        <v>0.34650000000000003</v>
      </c>
      <c r="BD31" s="79" t="s">
        <v>38</v>
      </c>
      <c r="BE31" s="79" t="s">
        <v>38</v>
      </c>
      <c r="BF31" s="79" t="s">
        <v>38</v>
      </c>
      <c r="BG31" s="40">
        <v>0.38850000000000001</v>
      </c>
      <c r="BH31" s="38">
        <v>0.3075</v>
      </c>
      <c r="BI31" s="38">
        <v>0.34299999999999997</v>
      </c>
      <c r="BJ31" s="38">
        <v>0.32950000000000002</v>
      </c>
      <c r="BK31" s="38">
        <v>0.316</v>
      </c>
      <c r="BL31" s="38">
        <v>0.33150000000000002</v>
      </c>
      <c r="BM31" s="38">
        <v>0.35649999999999998</v>
      </c>
      <c r="BN31" s="55" t="s">
        <v>38</v>
      </c>
      <c r="BO31" s="40">
        <v>0.35</v>
      </c>
      <c r="BP31" s="38">
        <v>0.54049999999999998</v>
      </c>
      <c r="BQ31" s="38">
        <v>0.33850000000000002</v>
      </c>
      <c r="BR31" s="41">
        <v>0.34050000000000002</v>
      </c>
      <c r="BS31" s="41">
        <v>0.33400000000000002</v>
      </c>
      <c r="BT31" s="41">
        <v>0.34</v>
      </c>
      <c r="BU31" s="42">
        <v>0.33</v>
      </c>
      <c r="BV31" s="41">
        <v>0.375</v>
      </c>
      <c r="BW31" s="42">
        <v>0.3705</v>
      </c>
      <c r="BX31" s="42">
        <v>0.33450000000000002</v>
      </c>
      <c r="BY31" s="78" t="s">
        <v>38</v>
      </c>
      <c r="BZ31" s="85" t="s">
        <v>38</v>
      </c>
      <c r="CA31" s="91" t="s">
        <v>38</v>
      </c>
    </row>
    <row r="32" spans="1:79">
      <c r="A32" s="64">
        <v>23</v>
      </c>
      <c r="B32" s="83">
        <v>254520.12336</v>
      </c>
      <c r="C32" s="83">
        <v>4505551.7588200001</v>
      </c>
      <c r="D32" s="78" t="s">
        <v>38</v>
      </c>
      <c r="E32" s="79" t="s">
        <v>38</v>
      </c>
      <c r="F32" s="79" t="s">
        <v>38</v>
      </c>
      <c r="G32" s="79" t="s">
        <v>38</v>
      </c>
      <c r="H32" s="79" t="s">
        <v>38</v>
      </c>
      <c r="I32" s="79" t="s">
        <v>38</v>
      </c>
      <c r="J32" s="79" t="s">
        <v>38</v>
      </c>
      <c r="K32" s="79" t="s">
        <v>38</v>
      </c>
      <c r="L32" s="79" t="s">
        <v>38</v>
      </c>
      <c r="M32" s="79" t="s">
        <v>38</v>
      </c>
      <c r="N32" s="79" t="s">
        <v>38</v>
      </c>
      <c r="O32" s="79" t="s">
        <v>38</v>
      </c>
      <c r="P32" s="79" t="s">
        <v>38</v>
      </c>
      <c r="Q32" s="79" t="s">
        <v>38</v>
      </c>
      <c r="R32" s="79" t="s">
        <v>38</v>
      </c>
      <c r="S32" s="79" t="s">
        <v>38</v>
      </c>
      <c r="T32" s="79" t="s">
        <v>38</v>
      </c>
      <c r="U32" s="79" t="s">
        <v>38</v>
      </c>
      <c r="V32" s="79" t="s">
        <v>38</v>
      </c>
      <c r="W32" s="79" t="s">
        <v>38</v>
      </c>
      <c r="X32" s="79" t="s">
        <v>38</v>
      </c>
      <c r="Y32" s="79" t="s">
        <v>38</v>
      </c>
      <c r="Z32" s="79" t="s">
        <v>38</v>
      </c>
      <c r="AA32" s="79" t="s">
        <v>38</v>
      </c>
      <c r="AB32" s="79" t="s">
        <v>38</v>
      </c>
      <c r="AC32" s="79" t="s">
        <v>38</v>
      </c>
      <c r="AD32" s="79" t="s">
        <v>38</v>
      </c>
      <c r="AE32" s="79" t="s">
        <v>38</v>
      </c>
      <c r="AF32" s="79" t="s">
        <v>38</v>
      </c>
      <c r="AG32" s="79" t="s">
        <v>38</v>
      </c>
      <c r="AH32" s="79" t="s">
        <v>38</v>
      </c>
      <c r="AI32" s="79" t="s">
        <v>38</v>
      </c>
      <c r="AJ32" s="79" t="s">
        <v>38</v>
      </c>
      <c r="AK32" s="79" t="s">
        <v>38</v>
      </c>
      <c r="AL32" s="79" t="s">
        <v>38</v>
      </c>
      <c r="AM32" s="79" t="s">
        <v>38</v>
      </c>
      <c r="AN32" s="79" t="s">
        <v>38</v>
      </c>
      <c r="AO32" s="79" t="s">
        <v>38</v>
      </c>
      <c r="AP32" s="79" t="s">
        <v>38</v>
      </c>
      <c r="AQ32" s="79" t="s">
        <v>38</v>
      </c>
      <c r="AR32" s="79" t="s">
        <v>38</v>
      </c>
      <c r="AS32" s="79" t="s">
        <v>38</v>
      </c>
      <c r="AT32" s="79" t="s">
        <v>38</v>
      </c>
      <c r="AU32" s="79" t="s">
        <v>38</v>
      </c>
      <c r="AV32" s="79" t="s">
        <v>38</v>
      </c>
      <c r="AW32" s="79" t="s">
        <v>38</v>
      </c>
      <c r="AX32" s="79" t="s">
        <v>38</v>
      </c>
      <c r="AY32" s="79" t="s">
        <v>38</v>
      </c>
      <c r="AZ32" s="79" t="s">
        <v>38</v>
      </c>
      <c r="BA32" s="79" t="s">
        <v>38</v>
      </c>
      <c r="BB32" s="79" t="s">
        <v>38</v>
      </c>
      <c r="BC32" s="79" t="s">
        <v>38</v>
      </c>
      <c r="BD32" s="79" t="s">
        <v>38</v>
      </c>
      <c r="BE32" s="79" t="s">
        <v>38</v>
      </c>
      <c r="BF32" s="79" t="s">
        <v>38</v>
      </c>
      <c r="BG32" s="79" t="s">
        <v>38</v>
      </c>
      <c r="BH32" s="79" t="s">
        <v>38</v>
      </c>
      <c r="BI32" s="79" t="s">
        <v>38</v>
      </c>
      <c r="BJ32" s="79" t="s">
        <v>38</v>
      </c>
      <c r="BK32" s="79" t="s">
        <v>38</v>
      </c>
      <c r="BL32" s="79" t="s">
        <v>38</v>
      </c>
      <c r="BM32" s="79" t="s">
        <v>38</v>
      </c>
      <c r="BN32" s="79" t="s">
        <v>38</v>
      </c>
      <c r="BO32" s="79" t="s">
        <v>38</v>
      </c>
      <c r="BP32" s="79" t="s">
        <v>38</v>
      </c>
      <c r="BQ32" s="79" t="s">
        <v>38</v>
      </c>
      <c r="BR32" s="79" t="s">
        <v>38</v>
      </c>
      <c r="BS32" s="79" t="s">
        <v>38</v>
      </c>
      <c r="BT32" s="79" t="s">
        <v>38</v>
      </c>
      <c r="BU32" s="79" t="s">
        <v>38</v>
      </c>
      <c r="BV32" s="79" t="s">
        <v>38</v>
      </c>
      <c r="BW32" s="79" t="s">
        <v>38</v>
      </c>
      <c r="BX32" s="79" t="s">
        <v>38</v>
      </c>
      <c r="BY32" s="78" t="s">
        <v>38</v>
      </c>
      <c r="BZ32" s="79" t="s">
        <v>38</v>
      </c>
      <c r="CA32" s="90" t="s">
        <v>38</v>
      </c>
    </row>
    <row r="33" spans="1:79">
      <c r="A33" s="64">
        <v>24</v>
      </c>
      <c r="B33" s="83">
        <v>254528.53983200001</v>
      </c>
      <c r="C33" s="83">
        <v>4505511.7527299998</v>
      </c>
      <c r="D33" s="78" t="s">
        <v>38</v>
      </c>
      <c r="E33" s="79" t="s">
        <v>38</v>
      </c>
      <c r="F33" s="79" t="s">
        <v>38</v>
      </c>
      <c r="G33" s="79" t="s">
        <v>38</v>
      </c>
      <c r="H33" s="79" t="s">
        <v>38</v>
      </c>
      <c r="I33" s="79" t="s">
        <v>38</v>
      </c>
      <c r="J33" s="79" t="s">
        <v>38</v>
      </c>
      <c r="K33" s="79" t="s">
        <v>38</v>
      </c>
      <c r="L33" s="79" t="s">
        <v>38</v>
      </c>
      <c r="M33" s="79" t="s">
        <v>38</v>
      </c>
      <c r="N33" s="79" t="s">
        <v>38</v>
      </c>
      <c r="O33" s="79" t="s">
        <v>38</v>
      </c>
      <c r="P33" s="79" t="s">
        <v>38</v>
      </c>
      <c r="Q33" s="79" t="s">
        <v>38</v>
      </c>
      <c r="R33" s="79" t="s">
        <v>38</v>
      </c>
      <c r="S33" s="79" t="s">
        <v>38</v>
      </c>
      <c r="T33" s="79" t="s">
        <v>38</v>
      </c>
      <c r="U33" s="79" t="s">
        <v>38</v>
      </c>
      <c r="V33" s="79" t="s">
        <v>38</v>
      </c>
      <c r="W33" s="79" t="s">
        <v>38</v>
      </c>
      <c r="X33" s="79" t="s">
        <v>38</v>
      </c>
      <c r="Y33" s="79" t="s">
        <v>38</v>
      </c>
      <c r="Z33" s="79" t="s">
        <v>38</v>
      </c>
      <c r="AA33" s="79" t="s">
        <v>38</v>
      </c>
      <c r="AB33" s="79" t="s">
        <v>38</v>
      </c>
      <c r="AC33" s="79" t="s">
        <v>38</v>
      </c>
      <c r="AD33" s="79" t="s">
        <v>38</v>
      </c>
      <c r="AE33" s="79" t="s">
        <v>38</v>
      </c>
      <c r="AF33" s="79" t="s">
        <v>38</v>
      </c>
      <c r="AG33" s="79" t="s">
        <v>38</v>
      </c>
      <c r="AH33" s="79" t="s">
        <v>38</v>
      </c>
      <c r="AI33" s="79" t="s">
        <v>38</v>
      </c>
      <c r="AJ33" s="79" t="s">
        <v>38</v>
      </c>
      <c r="AK33" s="79" t="s">
        <v>38</v>
      </c>
      <c r="AL33" s="79" t="s">
        <v>38</v>
      </c>
      <c r="AM33" s="79" t="s">
        <v>38</v>
      </c>
      <c r="AN33" s="79" t="s">
        <v>38</v>
      </c>
      <c r="AO33" s="79" t="s">
        <v>38</v>
      </c>
      <c r="AP33" s="79" t="s">
        <v>38</v>
      </c>
      <c r="AQ33" s="79" t="s">
        <v>38</v>
      </c>
      <c r="AR33" s="79" t="s">
        <v>38</v>
      </c>
      <c r="AS33" s="79" t="s">
        <v>38</v>
      </c>
      <c r="AT33" s="79" t="s">
        <v>38</v>
      </c>
      <c r="AU33" s="79" t="s">
        <v>38</v>
      </c>
      <c r="AV33" s="79" t="s">
        <v>38</v>
      </c>
      <c r="AW33" s="79" t="s">
        <v>38</v>
      </c>
      <c r="AX33" s="79" t="s">
        <v>38</v>
      </c>
      <c r="AY33" s="79" t="s">
        <v>38</v>
      </c>
      <c r="AZ33" s="79" t="s">
        <v>38</v>
      </c>
      <c r="BA33" s="79" t="s">
        <v>38</v>
      </c>
      <c r="BB33" s="79" t="s">
        <v>38</v>
      </c>
      <c r="BC33" s="79" t="s">
        <v>38</v>
      </c>
      <c r="BD33" s="79" t="s">
        <v>38</v>
      </c>
      <c r="BE33" s="79" t="s">
        <v>38</v>
      </c>
      <c r="BF33" s="79" t="s">
        <v>38</v>
      </c>
      <c r="BG33" s="79" t="s">
        <v>38</v>
      </c>
      <c r="BH33" s="79" t="s">
        <v>38</v>
      </c>
      <c r="BI33" s="79" t="s">
        <v>38</v>
      </c>
      <c r="BJ33" s="79" t="s">
        <v>38</v>
      </c>
      <c r="BK33" s="79" t="s">
        <v>38</v>
      </c>
      <c r="BL33" s="79" t="s">
        <v>38</v>
      </c>
      <c r="BM33" s="79" t="s">
        <v>38</v>
      </c>
      <c r="BN33" s="79" t="s">
        <v>38</v>
      </c>
      <c r="BO33" s="79" t="s">
        <v>38</v>
      </c>
      <c r="BP33" s="79" t="s">
        <v>38</v>
      </c>
      <c r="BQ33" s="79" t="s">
        <v>38</v>
      </c>
      <c r="BR33" s="79" t="s">
        <v>38</v>
      </c>
      <c r="BS33" s="79" t="s">
        <v>38</v>
      </c>
      <c r="BT33" s="79" t="s">
        <v>38</v>
      </c>
      <c r="BU33" s="79" t="s">
        <v>38</v>
      </c>
      <c r="BV33" s="79" t="s">
        <v>38</v>
      </c>
      <c r="BW33" s="79" t="s">
        <v>38</v>
      </c>
      <c r="BX33" s="79" t="s">
        <v>38</v>
      </c>
      <c r="BY33" s="78" t="s">
        <v>38</v>
      </c>
      <c r="BZ33" s="79" t="s">
        <v>38</v>
      </c>
      <c r="CA33" s="90" t="s">
        <v>38</v>
      </c>
    </row>
    <row r="34" spans="1:79">
      <c r="A34" s="64">
        <v>25</v>
      </c>
      <c r="B34" s="83">
        <v>254506.98052099999</v>
      </c>
      <c r="C34" s="83">
        <v>4505562.6568999998</v>
      </c>
      <c r="D34" s="78" t="s">
        <v>38</v>
      </c>
      <c r="E34" s="79" t="s">
        <v>38</v>
      </c>
      <c r="F34" s="79" t="s">
        <v>38</v>
      </c>
      <c r="G34" s="79" t="s">
        <v>38</v>
      </c>
      <c r="H34" s="79" t="s">
        <v>38</v>
      </c>
      <c r="I34" s="79" t="s">
        <v>38</v>
      </c>
      <c r="J34" s="79" t="s">
        <v>38</v>
      </c>
      <c r="K34" s="79" t="s">
        <v>38</v>
      </c>
      <c r="L34" s="79" t="s">
        <v>38</v>
      </c>
      <c r="M34" s="79" t="s">
        <v>38</v>
      </c>
      <c r="N34" s="79" t="s">
        <v>38</v>
      </c>
      <c r="O34" s="79" t="s">
        <v>38</v>
      </c>
      <c r="P34" s="79" t="s">
        <v>38</v>
      </c>
      <c r="Q34" s="79" t="s">
        <v>38</v>
      </c>
      <c r="R34" s="79" t="s">
        <v>38</v>
      </c>
      <c r="S34" s="79" t="s">
        <v>38</v>
      </c>
      <c r="T34" s="79" t="s">
        <v>38</v>
      </c>
      <c r="U34" s="79" t="s">
        <v>38</v>
      </c>
      <c r="V34" s="79" t="s">
        <v>38</v>
      </c>
      <c r="W34" s="79" t="s">
        <v>38</v>
      </c>
      <c r="X34" s="79" t="s">
        <v>38</v>
      </c>
      <c r="Y34" s="79" t="s">
        <v>38</v>
      </c>
      <c r="Z34" s="79" t="s">
        <v>38</v>
      </c>
      <c r="AA34" s="79" t="s">
        <v>38</v>
      </c>
      <c r="AB34" s="79" t="s">
        <v>38</v>
      </c>
      <c r="AC34" s="79" t="s">
        <v>38</v>
      </c>
      <c r="AD34" s="79" t="s">
        <v>38</v>
      </c>
      <c r="AE34" s="79" t="s">
        <v>38</v>
      </c>
      <c r="AF34" s="79" t="s">
        <v>38</v>
      </c>
      <c r="AG34" s="79" t="s">
        <v>38</v>
      </c>
      <c r="AH34" s="79" t="s">
        <v>38</v>
      </c>
      <c r="AI34" s="79" t="s">
        <v>38</v>
      </c>
      <c r="AJ34" s="79" t="s">
        <v>38</v>
      </c>
      <c r="AK34" s="79" t="s">
        <v>38</v>
      </c>
      <c r="AL34" s="79" t="s">
        <v>38</v>
      </c>
      <c r="AM34" s="79" t="s">
        <v>38</v>
      </c>
      <c r="AN34" s="79" t="s">
        <v>38</v>
      </c>
      <c r="AO34" s="79" t="s">
        <v>38</v>
      </c>
      <c r="AP34" s="79" t="s">
        <v>38</v>
      </c>
      <c r="AQ34" s="79" t="s">
        <v>38</v>
      </c>
      <c r="AR34" s="79" t="s">
        <v>38</v>
      </c>
      <c r="AS34" s="79" t="s">
        <v>38</v>
      </c>
      <c r="AT34" s="79" t="s">
        <v>38</v>
      </c>
      <c r="AU34" s="79" t="s">
        <v>38</v>
      </c>
      <c r="AV34" s="79" t="s">
        <v>38</v>
      </c>
      <c r="AW34" s="79" t="s">
        <v>38</v>
      </c>
      <c r="AX34" s="79" t="s">
        <v>38</v>
      </c>
      <c r="AY34" s="79" t="s">
        <v>38</v>
      </c>
      <c r="AZ34" s="79" t="s">
        <v>38</v>
      </c>
      <c r="BA34" s="79" t="s">
        <v>38</v>
      </c>
      <c r="BB34" s="79" t="s">
        <v>38</v>
      </c>
      <c r="BC34" s="79" t="s">
        <v>38</v>
      </c>
      <c r="BD34" s="79" t="s">
        <v>38</v>
      </c>
      <c r="BE34" s="79" t="s">
        <v>38</v>
      </c>
      <c r="BF34" s="79" t="s">
        <v>38</v>
      </c>
      <c r="BG34" s="79" t="s">
        <v>38</v>
      </c>
      <c r="BH34" s="79" t="s">
        <v>38</v>
      </c>
      <c r="BI34" s="79" t="s">
        <v>38</v>
      </c>
      <c r="BJ34" s="79" t="s">
        <v>38</v>
      </c>
      <c r="BK34" s="79" t="s">
        <v>38</v>
      </c>
      <c r="BL34" s="79" t="s">
        <v>38</v>
      </c>
      <c r="BM34" s="79" t="s">
        <v>38</v>
      </c>
      <c r="BN34" s="79" t="s">
        <v>38</v>
      </c>
      <c r="BO34" s="79" t="s">
        <v>38</v>
      </c>
      <c r="BP34" s="79" t="s">
        <v>38</v>
      </c>
      <c r="BQ34" s="79" t="s">
        <v>38</v>
      </c>
      <c r="BR34" s="79" t="s">
        <v>38</v>
      </c>
      <c r="BS34" s="79" t="s">
        <v>38</v>
      </c>
      <c r="BT34" s="79" t="s">
        <v>38</v>
      </c>
      <c r="BU34" s="79" t="s">
        <v>38</v>
      </c>
      <c r="BV34" s="79" t="s">
        <v>38</v>
      </c>
      <c r="BW34" s="79" t="s">
        <v>38</v>
      </c>
      <c r="BX34" s="79" t="s">
        <v>38</v>
      </c>
      <c r="BY34" s="78" t="s">
        <v>38</v>
      </c>
      <c r="BZ34" s="79" t="s">
        <v>38</v>
      </c>
      <c r="CA34" s="90" t="s">
        <v>38</v>
      </c>
    </row>
    <row r="35" spans="1:79">
      <c r="A35" s="64">
        <v>26</v>
      </c>
      <c r="B35" s="83">
        <v>254533.69367800001</v>
      </c>
      <c r="C35" s="83">
        <v>4505540.5411999999</v>
      </c>
      <c r="D35" s="78" t="s">
        <v>38</v>
      </c>
      <c r="E35" s="79" t="s">
        <v>38</v>
      </c>
      <c r="F35" s="79" t="s">
        <v>38</v>
      </c>
      <c r="G35" s="79" t="s">
        <v>38</v>
      </c>
      <c r="H35" s="79" t="s">
        <v>38</v>
      </c>
      <c r="I35" s="79" t="s">
        <v>38</v>
      </c>
      <c r="J35" s="79" t="s">
        <v>38</v>
      </c>
      <c r="K35" s="79" t="s">
        <v>38</v>
      </c>
      <c r="L35" s="79" t="s">
        <v>38</v>
      </c>
      <c r="M35" s="79" t="s">
        <v>38</v>
      </c>
      <c r="N35" s="79" t="s">
        <v>38</v>
      </c>
      <c r="O35" s="79" t="s">
        <v>38</v>
      </c>
      <c r="P35" s="79" t="s">
        <v>38</v>
      </c>
      <c r="Q35" s="79" t="s">
        <v>38</v>
      </c>
      <c r="R35" s="79" t="s">
        <v>38</v>
      </c>
      <c r="S35" s="79" t="s">
        <v>38</v>
      </c>
      <c r="T35" s="79" t="s">
        <v>38</v>
      </c>
      <c r="U35" s="79" t="s">
        <v>38</v>
      </c>
      <c r="V35" s="79" t="s">
        <v>38</v>
      </c>
      <c r="W35" s="79" t="s">
        <v>38</v>
      </c>
      <c r="X35" s="79" t="s">
        <v>38</v>
      </c>
      <c r="Y35" s="79" t="s">
        <v>38</v>
      </c>
      <c r="Z35" s="79" t="s">
        <v>38</v>
      </c>
      <c r="AA35" s="79" t="s">
        <v>38</v>
      </c>
      <c r="AB35" s="79" t="s">
        <v>38</v>
      </c>
      <c r="AC35" s="79" t="s">
        <v>38</v>
      </c>
      <c r="AD35" s="79" t="s">
        <v>38</v>
      </c>
      <c r="AE35" s="79" t="s">
        <v>38</v>
      </c>
      <c r="AF35" s="79" t="s">
        <v>38</v>
      </c>
      <c r="AG35" s="79" t="s">
        <v>38</v>
      </c>
      <c r="AH35" s="79" t="s">
        <v>38</v>
      </c>
      <c r="AI35" s="79" t="s">
        <v>38</v>
      </c>
      <c r="AJ35" s="79" t="s">
        <v>38</v>
      </c>
      <c r="AK35" s="79" t="s">
        <v>38</v>
      </c>
      <c r="AL35" s="79" t="s">
        <v>38</v>
      </c>
      <c r="AM35" s="79" t="s">
        <v>38</v>
      </c>
      <c r="AN35" s="79" t="s">
        <v>38</v>
      </c>
      <c r="AO35" s="79" t="s">
        <v>38</v>
      </c>
      <c r="AP35" s="79" t="s">
        <v>38</v>
      </c>
      <c r="AQ35" s="79" t="s">
        <v>38</v>
      </c>
      <c r="AR35" s="79" t="s">
        <v>38</v>
      </c>
      <c r="AS35" s="79" t="s">
        <v>38</v>
      </c>
      <c r="AT35" s="79" t="s">
        <v>38</v>
      </c>
      <c r="AU35" s="79" t="s">
        <v>38</v>
      </c>
      <c r="AV35" s="79" t="s">
        <v>38</v>
      </c>
      <c r="AW35" s="79" t="s">
        <v>38</v>
      </c>
      <c r="AX35" s="79" t="s">
        <v>38</v>
      </c>
      <c r="AY35" s="79" t="s">
        <v>38</v>
      </c>
      <c r="AZ35" s="79" t="s">
        <v>38</v>
      </c>
      <c r="BA35" s="79" t="s">
        <v>38</v>
      </c>
      <c r="BB35" s="79" t="s">
        <v>38</v>
      </c>
      <c r="BC35" s="79" t="s">
        <v>38</v>
      </c>
      <c r="BD35" s="79" t="s">
        <v>38</v>
      </c>
      <c r="BE35" s="79" t="s">
        <v>38</v>
      </c>
      <c r="BF35" s="79" t="s">
        <v>38</v>
      </c>
      <c r="BG35" s="79" t="s">
        <v>38</v>
      </c>
      <c r="BH35" s="79" t="s">
        <v>38</v>
      </c>
      <c r="BI35" s="79" t="s">
        <v>38</v>
      </c>
      <c r="BJ35" s="79" t="s">
        <v>38</v>
      </c>
      <c r="BK35" s="79" t="s">
        <v>38</v>
      </c>
      <c r="BL35" s="79" t="s">
        <v>38</v>
      </c>
      <c r="BM35" s="79" t="s">
        <v>38</v>
      </c>
      <c r="BN35" s="79" t="s">
        <v>38</v>
      </c>
      <c r="BO35" s="79" t="s">
        <v>38</v>
      </c>
      <c r="BP35" s="79" t="s">
        <v>38</v>
      </c>
      <c r="BQ35" s="79" t="s">
        <v>38</v>
      </c>
      <c r="BR35" s="79" t="s">
        <v>38</v>
      </c>
      <c r="BS35" s="79" t="s">
        <v>38</v>
      </c>
      <c r="BT35" s="79" t="s">
        <v>38</v>
      </c>
      <c r="BU35" s="79" t="s">
        <v>38</v>
      </c>
      <c r="BV35" s="79" t="s">
        <v>38</v>
      </c>
      <c r="BW35" s="79" t="s">
        <v>38</v>
      </c>
      <c r="BX35" s="79" t="s">
        <v>38</v>
      </c>
      <c r="BY35" s="78" t="s">
        <v>38</v>
      </c>
      <c r="BZ35" s="79" t="s">
        <v>38</v>
      </c>
      <c r="CA35" s="90" t="s">
        <v>38</v>
      </c>
    </row>
    <row r="36" spans="1:79">
      <c r="A36" s="64">
        <v>27</v>
      </c>
      <c r="B36" s="82">
        <v>254513.240017</v>
      </c>
      <c r="C36" s="82">
        <v>4505597.2084600003</v>
      </c>
      <c r="D36" s="78" t="s">
        <v>38</v>
      </c>
      <c r="E36" s="79">
        <v>0.34699999999999998</v>
      </c>
      <c r="F36" s="78">
        <v>0.36149999999999999</v>
      </c>
      <c r="G36" s="79">
        <v>0.3745</v>
      </c>
      <c r="H36" s="78">
        <v>0.38600000000000001</v>
      </c>
      <c r="I36" s="78">
        <v>0.35199999999999998</v>
      </c>
      <c r="J36" s="78">
        <v>0.33250000000000002</v>
      </c>
      <c r="K36" s="78">
        <v>0.32300000000000001</v>
      </c>
      <c r="L36" s="78">
        <v>0.33900000000000002</v>
      </c>
      <c r="M36" s="78">
        <v>0.35349999999999998</v>
      </c>
      <c r="N36" s="67">
        <v>0.34599999999999997</v>
      </c>
      <c r="O36" s="67">
        <v>0.32500000000000001</v>
      </c>
      <c r="P36" s="67">
        <v>0.34899999999999998</v>
      </c>
      <c r="Q36" s="67">
        <v>0.312</v>
      </c>
      <c r="R36" s="67">
        <v>0.35749999999999998</v>
      </c>
      <c r="S36" s="67">
        <v>0.35749999999999998</v>
      </c>
      <c r="T36" s="39">
        <v>0.50700000000000001</v>
      </c>
      <c r="U36" s="39">
        <v>0.52600000000000002</v>
      </c>
      <c r="V36" s="40">
        <v>0.59599999999999997</v>
      </c>
      <c r="W36" s="40">
        <v>0.628</v>
      </c>
      <c r="X36" s="40">
        <v>0.63200000000000001</v>
      </c>
      <c r="Y36" s="40">
        <v>0.67700000000000005</v>
      </c>
      <c r="Z36" s="40">
        <v>0.65</v>
      </c>
      <c r="AA36" s="40">
        <v>0.63700000000000001</v>
      </c>
      <c r="AB36" s="40">
        <v>0.70499999999999996</v>
      </c>
      <c r="AC36" s="40">
        <v>0.60099999999999998</v>
      </c>
      <c r="AD36" s="40">
        <v>0.6</v>
      </c>
      <c r="AE36" s="40">
        <v>0.51200000000000001</v>
      </c>
      <c r="AF36" s="40">
        <v>0.44500000000000001</v>
      </c>
      <c r="AG36" s="40">
        <v>0.44900000000000001</v>
      </c>
      <c r="AH36" s="40">
        <v>0.38600000000000001</v>
      </c>
      <c r="AI36" s="40">
        <v>0.35699999999999998</v>
      </c>
      <c r="AJ36" s="40">
        <v>0.48099999999999998</v>
      </c>
      <c r="AK36" s="40">
        <v>0.41</v>
      </c>
      <c r="AL36" s="40">
        <v>0.41</v>
      </c>
      <c r="AM36" s="40">
        <v>0.59099999999999997</v>
      </c>
      <c r="AN36" s="40">
        <v>0.39400000000000002</v>
      </c>
      <c r="AO36" s="40">
        <v>0.28699999999999998</v>
      </c>
      <c r="AP36" s="79" t="s">
        <v>38</v>
      </c>
      <c r="AQ36" s="40">
        <v>0.43099999999999999</v>
      </c>
      <c r="AR36" s="40">
        <v>0.40400000000000003</v>
      </c>
      <c r="AS36" s="40">
        <v>0.315</v>
      </c>
      <c r="AT36" s="40">
        <v>0.39500000000000002</v>
      </c>
      <c r="AU36" s="40">
        <v>0.40300000000000002</v>
      </c>
      <c r="AV36" s="40">
        <v>0.47699999999999998</v>
      </c>
      <c r="AW36" s="40">
        <v>0.35099999999999998</v>
      </c>
      <c r="AX36" s="40">
        <v>0.33600000000000002</v>
      </c>
      <c r="AY36" s="40">
        <v>0.38700000000000001</v>
      </c>
      <c r="AZ36" s="40">
        <v>0.35899999999999999</v>
      </c>
      <c r="BA36" s="40">
        <v>0.36799999999999999</v>
      </c>
      <c r="BB36" s="49">
        <v>0.26900000000000002</v>
      </c>
      <c r="BC36" s="40">
        <v>0.36349999999999999</v>
      </c>
      <c r="BD36" s="79" t="s">
        <v>38</v>
      </c>
      <c r="BE36" s="79" t="s">
        <v>38</v>
      </c>
      <c r="BF36" s="79" t="s">
        <v>38</v>
      </c>
      <c r="BG36" s="40">
        <v>0.40400000000000003</v>
      </c>
      <c r="BH36" s="38">
        <v>0.3155</v>
      </c>
      <c r="BI36" s="38">
        <v>0.35449999999999998</v>
      </c>
      <c r="BJ36" s="38">
        <v>0.34050000000000002</v>
      </c>
      <c r="BK36" s="38">
        <v>0.32800000000000001</v>
      </c>
      <c r="BL36" s="38">
        <v>0.33900000000000002</v>
      </c>
      <c r="BM36" s="38">
        <v>0.3765</v>
      </c>
      <c r="BN36" s="79" t="s">
        <v>38</v>
      </c>
      <c r="BO36" s="40">
        <v>0.35849999999999999</v>
      </c>
      <c r="BP36" s="38">
        <v>0.376</v>
      </c>
      <c r="BQ36" s="38">
        <v>0.36299999999999999</v>
      </c>
      <c r="BR36" s="41">
        <v>0.36149999999999999</v>
      </c>
      <c r="BS36" s="41">
        <v>0.35699999999999998</v>
      </c>
      <c r="BT36" s="41">
        <v>0.36849999999999999</v>
      </c>
      <c r="BU36" s="42">
        <v>0.36099999999999999</v>
      </c>
      <c r="BV36" s="41">
        <v>0.42599999999999999</v>
      </c>
      <c r="BW36" s="42">
        <v>0.39050000000000001</v>
      </c>
      <c r="BX36" s="42">
        <v>0.3705</v>
      </c>
      <c r="BY36" s="78" t="s">
        <v>38</v>
      </c>
      <c r="BZ36" s="85">
        <f>(0.346+0.36)/2</f>
        <v>0.35299999999999998</v>
      </c>
      <c r="CA36" s="91">
        <v>0.50049999999999994</v>
      </c>
    </row>
    <row r="37" spans="1:79">
      <c r="A37" s="64">
        <v>28</v>
      </c>
      <c r="B37" s="82">
        <v>254529.46167600001</v>
      </c>
      <c r="C37" s="82">
        <v>4505586.2259</v>
      </c>
      <c r="D37" s="78" t="s">
        <v>38</v>
      </c>
      <c r="E37" s="79">
        <v>0.28949999999999998</v>
      </c>
      <c r="F37" s="79">
        <v>0.30449999999999999</v>
      </c>
      <c r="G37" s="79">
        <v>0.29799999999999999</v>
      </c>
      <c r="H37" s="79">
        <v>0.29799999999999999</v>
      </c>
      <c r="I37" s="79">
        <v>0.2485</v>
      </c>
      <c r="J37" s="79">
        <v>0.2445</v>
      </c>
      <c r="K37" s="79">
        <v>0.20799999999999999</v>
      </c>
      <c r="L37" s="79">
        <v>0.23150000000000001</v>
      </c>
      <c r="M37" s="79">
        <v>0.20300000000000001</v>
      </c>
      <c r="N37" s="67">
        <v>0.2205</v>
      </c>
      <c r="O37" s="67">
        <v>0.20050000000000001</v>
      </c>
      <c r="P37" s="67">
        <v>0.19950000000000001</v>
      </c>
      <c r="Q37" s="67">
        <v>0.2145</v>
      </c>
      <c r="R37" s="79" t="s">
        <v>38</v>
      </c>
      <c r="S37" s="67">
        <v>0.22500000000000001</v>
      </c>
      <c r="T37" s="39">
        <v>0.33900000000000002</v>
      </c>
      <c r="U37" s="39">
        <v>0.33900000000000002</v>
      </c>
      <c r="V37" s="40">
        <v>0.33400000000000002</v>
      </c>
      <c r="W37" s="40">
        <v>0.375</v>
      </c>
      <c r="X37" s="40">
        <v>0.33</v>
      </c>
      <c r="Y37" s="40">
        <v>0.35699999999999998</v>
      </c>
      <c r="Z37" s="40">
        <v>0.32800000000000001</v>
      </c>
      <c r="AA37" s="40">
        <v>0.33700000000000002</v>
      </c>
      <c r="AB37" s="40">
        <v>0.34699999999999998</v>
      </c>
      <c r="AC37" s="40">
        <v>0.34599999999999997</v>
      </c>
      <c r="AD37" s="40">
        <v>0.4</v>
      </c>
      <c r="AE37" s="40">
        <v>0.375</v>
      </c>
      <c r="AF37" s="40">
        <v>0.28999999999999998</v>
      </c>
      <c r="AG37" s="40">
        <v>0.27</v>
      </c>
      <c r="AH37" s="40">
        <v>0.254</v>
      </c>
      <c r="AI37" s="40">
        <v>0.27600000000000002</v>
      </c>
      <c r="AJ37" s="40">
        <v>0.27700000000000002</v>
      </c>
      <c r="AK37" s="40">
        <v>0.25700000000000001</v>
      </c>
      <c r="AL37" s="40">
        <v>0.25700000000000001</v>
      </c>
      <c r="AM37" s="40">
        <v>0.376</v>
      </c>
      <c r="AN37" s="40">
        <v>0.28999999999999998</v>
      </c>
      <c r="AO37" s="40">
        <v>0.23</v>
      </c>
      <c r="AP37" s="79" t="s">
        <v>38</v>
      </c>
      <c r="AQ37" s="40">
        <v>0.28699999999999998</v>
      </c>
      <c r="AR37" s="40">
        <v>0.26500000000000001</v>
      </c>
      <c r="AS37" s="40">
        <v>0.26800000000000002</v>
      </c>
      <c r="AT37" s="40">
        <v>0.251</v>
      </c>
      <c r="AU37" s="40">
        <v>0.24099999999999999</v>
      </c>
      <c r="AV37" s="40">
        <v>0.25</v>
      </c>
      <c r="AW37" s="40">
        <v>0.20699999999999999</v>
      </c>
      <c r="AX37" s="40">
        <v>0.218</v>
      </c>
      <c r="AY37" s="40">
        <v>0.254</v>
      </c>
      <c r="AZ37" s="40">
        <v>0.24399999999999999</v>
      </c>
      <c r="BA37" s="40">
        <v>0.245</v>
      </c>
      <c r="BB37" s="49">
        <v>0.18049999999999999</v>
      </c>
      <c r="BC37" s="40">
        <v>0.2475</v>
      </c>
      <c r="BD37" s="79" t="s">
        <v>38</v>
      </c>
      <c r="BE37" s="79" t="s">
        <v>38</v>
      </c>
      <c r="BF37" s="79" t="s">
        <v>38</v>
      </c>
      <c r="BG37" s="40">
        <v>0.29249999999999998</v>
      </c>
      <c r="BH37" s="38">
        <v>0.26950000000000002</v>
      </c>
      <c r="BI37" s="38">
        <v>0.30399999999999999</v>
      </c>
      <c r="BJ37" s="38">
        <v>0.28649999999999998</v>
      </c>
      <c r="BK37" s="38">
        <v>0.27850000000000003</v>
      </c>
      <c r="BL37" s="38">
        <v>0.27300000000000002</v>
      </c>
      <c r="BM37" s="38">
        <v>0.30349999999999999</v>
      </c>
      <c r="BN37" s="79" t="s">
        <v>38</v>
      </c>
      <c r="BO37" s="40">
        <v>0.29549999999999998</v>
      </c>
      <c r="BP37" s="38">
        <v>0.28249999999999997</v>
      </c>
      <c r="BQ37" s="38">
        <v>0.24349999999999999</v>
      </c>
      <c r="BR37" s="41">
        <v>0.23849999999999999</v>
      </c>
      <c r="BS37" s="41">
        <v>0.23050000000000001</v>
      </c>
      <c r="BT37" s="41">
        <v>0.23699999999999999</v>
      </c>
      <c r="BU37" s="42">
        <v>0.23349999999999999</v>
      </c>
      <c r="BV37" s="41">
        <v>0.26200000000000001</v>
      </c>
      <c r="BW37" s="42">
        <v>0.2485</v>
      </c>
      <c r="BX37" s="42">
        <v>0.251</v>
      </c>
      <c r="BY37" s="85">
        <f>(0.297+0.307)/2</f>
        <v>0.30199999999999999</v>
      </c>
      <c r="BZ37" s="85">
        <f>(0.304+0.305)/2</f>
        <v>0.30449999999999999</v>
      </c>
      <c r="CA37" s="90" t="s">
        <v>38</v>
      </c>
    </row>
    <row r="38" spans="1:79">
      <c r="A38" s="64">
        <v>29</v>
      </c>
      <c r="B38" s="82">
        <v>254562.056644</v>
      </c>
      <c r="C38" s="82">
        <v>4505556.1068799999</v>
      </c>
      <c r="D38" s="65" t="s">
        <v>38</v>
      </c>
      <c r="E38" s="65" t="s">
        <v>38</v>
      </c>
      <c r="F38" s="65" t="s">
        <v>38</v>
      </c>
      <c r="G38" s="65" t="s">
        <v>38</v>
      </c>
      <c r="H38" s="65" t="s">
        <v>38</v>
      </c>
      <c r="I38" s="65" t="s">
        <v>38</v>
      </c>
      <c r="J38" s="65" t="s">
        <v>38</v>
      </c>
      <c r="K38" s="65" t="s">
        <v>38</v>
      </c>
      <c r="L38" s="65" t="s">
        <v>38</v>
      </c>
      <c r="M38" s="65" t="s">
        <v>38</v>
      </c>
      <c r="N38" s="65" t="s">
        <v>38</v>
      </c>
      <c r="O38" s="65" t="s">
        <v>38</v>
      </c>
      <c r="P38" s="65" t="s">
        <v>38</v>
      </c>
      <c r="Q38" s="65" t="s">
        <v>38</v>
      </c>
      <c r="R38" s="65" t="s">
        <v>38</v>
      </c>
      <c r="S38" s="65" t="s">
        <v>38</v>
      </c>
      <c r="T38" s="40">
        <v>0.316</v>
      </c>
      <c r="U38" s="40">
        <v>0.315</v>
      </c>
      <c r="V38" s="40">
        <v>0.33500000000000002</v>
      </c>
      <c r="W38" s="40">
        <v>0.35099999999999998</v>
      </c>
      <c r="X38" s="40">
        <v>0.31900000000000001</v>
      </c>
      <c r="Y38" s="40">
        <v>0.28100000000000003</v>
      </c>
      <c r="Z38" s="40">
        <v>0.309</v>
      </c>
      <c r="AA38" s="40">
        <v>0.28999999999999998</v>
      </c>
      <c r="AB38" s="40">
        <v>0.34200000000000003</v>
      </c>
      <c r="AC38" s="40">
        <v>0.33400000000000002</v>
      </c>
      <c r="AD38" s="40">
        <v>0.315</v>
      </c>
      <c r="AE38" s="40">
        <v>0.29599999999999999</v>
      </c>
      <c r="AF38" s="40">
        <v>0.217</v>
      </c>
      <c r="AG38" s="40">
        <v>0.26</v>
      </c>
      <c r="AH38" s="40">
        <v>0.217</v>
      </c>
      <c r="AI38" s="40">
        <v>0.26700000000000002</v>
      </c>
      <c r="AJ38" s="40">
        <v>0.23100000000000001</v>
      </c>
      <c r="AK38" s="40" t="s">
        <v>38</v>
      </c>
      <c r="AL38" s="40" t="s">
        <v>38</v>
      </c>
      <c r="AM38" s="40">
        <v>0.35</v>
      </c>
      <c r="AN38" s="40">
        <v>0.27800000000000002</v>
      </c>
      <c r="AO38" s="40">
        <v>0.22</v>
      </c>
      <c r="AP38" s="79" t="s">
        <v>38</v>
      </c>
      <c r="AQ38" s="40">
        <v>0.26900000000000002</v>
      </c>
      <c r="AR38" s="40">
        <v>0.26400000000000001</v>
      </c>
      <c r="AS38" s="40">
        <v>0.26400000000000001</v>
      </c>
      <c r="AT38" s="40">
        <v>0.20399999999999999</v>
      </c>
      <c r="AU38" s="40">
        <v>0.22500000000000001</v>
      </c>
      <c r="AV38" s="40">
        <v>0.247</v>
      </c>
      <c r="AW38" s="40">
        <v>0.217</v>
      </c>
      <c r="AX38" s="40">
        <v>0.20899999999999999</v>
      </c>
      <c r="AY38" s="40">
        <v>0.21099999999999999</v>
      </c>
      <c r="AZ38" s="40">
        <v>0.23400000000000001</v>
      </c>
      <c r="BA38" s="40">
        <v>0.23400000000000001</v>
      </c>
      <c r="BB38" s="49">
        <v>0.16899999999999998</v>
      </c>
      <c r="BC38" s="40">
        <v>0.24149999999999999</v>
      </c>
      <c r="BD38" s="79" t="s">
        <v>38</v>
      </c>
      <c r="BE38" s="79" t="s">
        <v>38</v>
      </c>
      <c r="BF38" s="79" t="s">
        <v>38</v>
      </c>
      <c r="BG38" s="40">
        <v>0.22549999999999998</v>
      </c>
      <c r="BH38" s="38">
        <v>0.23699999999999999</v>
      </c>
      <c r="BI38" s="38">
        <v>0.26750000000000002</v>
      </c>
      <c r="BJ38" s="38">
        <v>0.23149999999999998</v>
      </c>
      <c r="BK38" s="38">
        <v>0.23449999999999999</v>
      </c>
      <c r="BL38" s="38">
        <v>0.20450000000000002</v>
      </c>
      <c r="BM38" s="38">
        <v>0.26250000000000001</v>
      </c>
      <c r="BN38" s="79" t="s">
        <v>38</v>
      </c>
      <c r="BO38" s="40">
        <v>0.21199999999999999</v>
      </c>
      <c r="BP38" s="38" t="s">
        <v>38</v>
      </c>
      <c r="BQ38" s="38">
        <v>0.245</v>
      </c>
      <c r="BR38" s="41">
        <v>0.24199999999999999</v>
      </c>
      <c r="BS38" s="41" t="s">
        <v>38</v>
      </c>
      <c r="BT38" s="41">
        <v>0.22500000000000001</v>
      </c>
      <c r="BU38" s="42">
        <v>0.20900000000000002</v>
      </c>
      <c r="BV38" s="41">
        <v>0.253</v>
      </c>
      <c r="BW38" s="42">
        <v>0.26050000000000001</v>
      </c>
      <c r="BX38" s="42" t="s">
        <v>38</v>
      </c>
      <c r="BY38" s="65" t="s">
        <v>38</v>
      </c>
      <c r="BZ38" s="85" t="s">
        <v>38</v>
      </c>
      <c r="CA38" s="86" t="s">
        <v>38</v>
      </c>
    </row>
    <row r="39" spans="1:79">
      <c r="A39" s="64">
        <v>30</v>
      </c>
      <c r="B39" s="82">
        <v>254600.96687999999</v>
      </c>
      <c r="C39" s="82">
        <v>4505520.1160399998</v>
      </c>
      <c r="D39" s="78" t="s">
        <v>38</v>
      </c>
      <c r="E39" s="79" t="s">
        <v>38</v>
      </c>
      <c r="F39" s="79" t="s">
        <v>38</v>
      </c>
      <c r="G39" s="79" t="s">
        <v>38</v>
      </c>
      <c r="H39" s="79" t="s">
        <v>38</v>
      </c>
      <c r="I39" s="79" t="s">
        <v>38</v>
      </c>
      <c r="J39" s="79" t="s">
        <v>38</v>
      </c>
      <c r="K39" s="79" t="s">
        <v>38</v>
      </c>
      <c r="L39" s="79" t="s">
        <v>38</v>
      </c>
      <c r="M39" s="79" t="s">
        <v>38</v>
      </c>
      <c r="N39" s="79" t="s">
        <v>38</v>
      </c>
      <c r="O39" s="79" t="s">
        <v>38</v>
      </c>
      <c r="P39" s="79" t="s">
        <v>38</v>
      </c>
      <c r="Q39" s="79" t="s">
        <v>38</v>
      </c>
      <c r="R39" s="79" t="s">
        <v>38</v>
      </c>
      <c r="S39" s="79" t="s">
        <v>38</v>
      </c>
      <c r="T39" s="79" t="s">
        <v>38</v>
      </c>
      <c r="U39" s="79" t="s">
        <v>38</v>
      </c>
      <c r="V39" s="79" t="s">
        <v>38</v>
      </c>
      <c r="W39" s="79" t="s">
        <v>38</v>
      </c>
      <c r="X39" s="79" t="s">
        <v>38</v>
      </c>
      <c r="Y39" s="79" t="s">
        <v>38</v>
      </c>
      <c r="Z39" s="79" t="s">
        <v>38</v>
      </c>
      <c r="AA39" s="79" t="s">
        <v>38</v>
      </c>
      <c r="AB39" s="79" t="s">
        <v>38</v>
      </c>
      <c r="AC39" s="79" t="s">
        <v>38</v>
      </c>
      <c r="AD39" s="79" t="s">
        <v>38</v>
      </c>
      <c r="AE39" s="79" t="s">
        <v>38</v>
      </c>
      <c r="AF39" s="79" t="s">
        <v>38</v>
      </c>
      <c r="AG39" s="79" t="s">
        <v>38</v>
      </c>
      <c r="AH39" s="79" t="s">
        <v>38</v>
      </c>
      <c r="AI39" s="79" t="s">
        <v>38</v>
      </c>
      <c r="AJ39" s="79" t="s">
        <v>38</v>
      </c>
      <c r="AK39" s="79" t="s">
        <v>38</v>
      </c>
      <c r="AL39" s="79" t="s">
        <v>38</v>
      </c>
      <c r="AM39" s="79" t="s">
        <v>38</v>
      </c>
      <c r="AN39" s="79" t="s">
        <v>38</v>
      </c>
      <c r="AO39" s="79" t="s">
        <v>38</v>
      </c>
      <c r="AP39" s="79" t="s">
        <v>38</v>
      </c>
      <c r="AQ39" s="79" t="s">
        <v>38</v>
      </c>
      <c r="AR39" s="79" t="s">
        <v>38</v>
      </c>
      <c r="AS39" s="79" t="s">
        <v>38</v>
      </c>
      <c r="AT39" s="79" t="s">
        <v>38</v>
      </c>
      <c r="AU39" s="79" t="s">
        <v>38</v>
      </c>
      <c r="AV39" s="79" t="s">
        <v>38</v>
      </c>
      <c r="AW39" s="79" t="s">
        <v>38</v>
      </c>
      <c r="AX39" s="79" t="s">
        <v>38</v>
      </c>
      <c r="AY39" s="79" t="s">
        <v>38</v>
      </c>
      <c r="AZ39" s="79" t="s">
        <v>38</v>
      </c>
      <c r="BA39" s="39" t="s">
        <v>38</v>
      </c>
      <c r="BB39" s="49" t="s">
        <v>38</v>
      </c>
      <c r="BC39" s="58" t="s">
        <v>38</v>
      </c>
      <c r="BD39" s="79" t="s">
        <v>38</v>
      </c>
      <c r="BE39" s="79" t="s">
        <v>38</v>
      </c>
      <c r="BF39" s="79" t="s">
        <v>38</v>
      </c>
      <c r="BG39" s="79" t="s">
        <v>38</v>
      </c>
      <c r="BH39" s="79" t="s">
        <v>38</v>
      </c>
      <c r="BI39" s="79" t="s">
        <v>38</v>
      </c>
      <c r="BJ39" s="79" t="s">
        <v>38</v>
      </c>
      <c r="BK39" s="79" t="s">
        <v>38</v>
      </c>
      <c r="BL39" s="79" t="s">
        <v>38</v>
      </c>
      <c r="BM39" s="79" t="s">
        <v>38</v>
      </c>
      <c r="BN39" s="79" t="s">
        <v>38</v>
      </c>
      <c r="BO39" s="79" t="s">
        <v>38</v>
      </c>
      <c r="BP39" s="79" t="s">
        <v>38</v>
      </c>
      <c r="BQ39" s="79" t="s">
        <v>38</v>
      </c>
      <c r="BR39" s="79" t="s">
        <v>38</v>
      </c>
      <c r="BS39" s="15" t="s">
        <v>38</v>
      </c>
      <c r="BT39" s="63" t="s">
        <v>38</v>
      </c>
      <c r="BU39" s="15" t="s">
        <v>38</v>
      </c>
      <c r="BV39" s="15" t="s">
        <v>38</v>
      </c>
      <c r="BW39" s="15" t="s">
        <v>38</v>
      </c>
      <c r="BX39" s="15" t="s">
        <v>38</v>
      </c>
      <c r="BY39" s="65" t="s">
        <v>38</v>
      </c>
      <c r="BZ39" s="79" t="s">
        <v>38</v>
      </c>
      <c r="CA39" s="90" t="s">
        <v>38</v>
      </c>
    </row>
    <row r="40" spans="1:79">
      <c r="A40" s="64">
        <v>31</v>
      </c>
      <c r="B40" s="82">
        <v>254602.038967</v>
      </c>
      <c r="C40" s="82">
        <v>4505614.9486699998</v>
      </c>
      <c r="D40" s="78" t="s">
        <v>38</v>
      </c>
      <c r="E40" s="79" t="s">
        <v>38</v>
      </c>
      <c r="F40" s="78">
        <v>9.1499999999999998E-2</v>
      </c>
      <c r="G40" s="79">
        <v>9.8000000000000004E-2</v>
      </c>
      <c r="H40" s="78">
        <v>8.7499999999999994E-2</v>
      </c>
      <c r="I40" s="78">
        <v>6.9500000000000006E-2</v>
      </c>
      <c r="J40" s="78">
        <v>6.9000000000000006E-2</v>
      </c>
      <c r="K40" s="78">
        <v>4.2999999999999997E-2</v>
      </c>
      <c r="L40" s="78">
        <v>5.5999999999999994E-2</v>
      </c>
      <c r="M40" s="78">
        <v>4.3499999999999997E-2</v>
      </c>
      <c r="N40" s="79" t="s">
        <v>38</v>
      </c>
      <c r="O40" s="79" t="s">
        <v>38</v>
      </c>
      <c r="P40" s="79" t="s">
        <v>38</v>
      </c>
      <c r="Q40" s="67">
        <v>8.2500000000000004E-2</v>
      </c>
      <c r="R40" s="67">
        <v>6.1499999999999999E-2</v>
      </c>
      <c r="S40" s="67">
        <v>6.7500000000000004E-2</v>
      </c>
      <c r="T40" s="40">
        <v>8.4000000000000005E-2</v>
      </c>
      <c r="U40" s="40">
        <v>8.6999999999999994E-2</v>
      </c>
      <c r="V40" s="40">
        <v>7.8E-2</v>
      </c>
      <c r="W40" s="40">
        <v>9.5000000000000001E-2</v>
      </c>
      <c r="X40" s="40">
        <v>7.0999999999999994E-2</v>
      </c>
      <c r="Y40" s="40">
        <v>6.7000000000000004E-2</v>
      </c>
      <c r="Z40" s="40">
        <v>7.6999999999999999E-2</v>
      </c>
      <c r="AA40" s="40">
        <v>6.9000000000000006E-2</v>
      </c>
      <c r="AB40" s="40">
        <v>8.4000000000000005E-2</v>
      </c>
      <c r="AC40" s="40">
        <v>9.0999999999999998E-2</v>
      </c>
      <c r="AD40" s="40">
        <v>8.5000000000000006E-2</v>
      </c>
      <c r="AE40" s="40">
        <v>0.10299999999999999</v>
      </c>
      <c r="AF40" s="40">
        <v>7.6999999999999999E-2</v>
      </c>
      <c r="AG40" s="40">
        <v>9.4E-2</v>
      </c>
      <c r="AH40" s="40">
        <v>7.1999999999999995E-2</v>
      </c>
      <c r="AI40" s="40">
        <v>6.5000000000000002E-2</v>
      </c>
      <c r="AJ40" s="40">
        <v>7.4999999999999997E-2</v>
      </c>
      <c r="AK40" s="40">
        <v>6.4000000000000001E-2</v>
      </c>
      <c r="AL40" s="40">
        <v>6.4000000000000001E-2</v>
      </c>
      <c r="AM40" s="40">
        <v>0.11700000000000001</v>
      </c>
      <c r="AN40" s="40">
        <v>8.1000000000000003E-2</v>
      </c>
      <c r="AO40" s="40">
        <v>2.1999999999999999E-2</v>
      </c>
      <c r="AP40" s="79" t="s">
        <v>38</v>
      </c>
      <c r="AQ40" s="40">
        <v>7.3999999999999996E-2</v>
      </c>
      <c r="AR40" s="40">
        <v>5.3999999999999999E-2</v>
      </c>
      <c r="AS40" s="40">
        <v>7.2999999999999995E-2</v>
      </c>
      <c r="AT40" s="40">
        <v>0.61499999999999999</v>
      </c>
      <c r="AU40" s="40">
        <v>6.4000000000000001E-2</v>
      </c>
      <c r="AV40" s="40">
        <v>7.0000000000000007E-2</v>
      </c>
      <c r="AW40" s="40">
        <v>4.7E-2</v>
      </c>
      <c r="AX40" s="40">
        <v>6.5000000000000002E-2</v>
      </c>
      <c r="AY40" s="40">
        <v>6.9000000000000006E-2</v>
      </c>
      <c r="AZ40" s="40">
        <v>5.8999999999999997E-2</v>
      </c>
      <c r="BA40" s="40">
        <v>0.02</v>
      </c>
      <c r="BB40" s="49" t="s">
        <v>38</v>
      </c>
      <c r="BC40" s="40">
        <v>6.0499999999999998E-2</v>
      </c>
      <c r="BD40" s="79" t="s">
        <v>38</v>
      </c>
      <c r="BE40" s="79" t="s">
        <v>38</v>
      </c>
      <c r="BF40" s="79" t="s">
        <v>38</v>
      </c>
      <c r="BG40" s="40">
        <v>9.0999999999999998E-2</v>
      </c>
      <c r="BH40" s="38">
        <v>6.9000000000000006E-2</v>
      </c>
      <c r="BI40" s="38">
        <v>9.6000000000000002E-2</v>
      </c>
      <c r="BJ40" s="38">
        <v>9.0999999999999998E-2</v>
      </c>
      <c r="BK40" s="38">
        <v>8.2500000000000004E-2</v>
      </c>
      <c r="BL40" s="38">
        <v>9.1999999999999998E-2</v>
      </c>
      <c r="BM40" s="38">
        <v>6.5500000000000003E-2</v>
      </c>
      <c r="BN40" s="79" t="s">
        <v>38</v>
      </c>
      <c r="BO40" s="40">
        <v>7.350000000000001E-2</v>
      </c>
      <c r="BP40" s="38">
        <v>7.2000000000000008E-2</v>
      </c>
      <c r="BQ40" s="38">
        <v>6.5500000000000003E-2</v>
      </c>
      <c r="BR40" s="41">
        <v>5.8500000000000003E-2</v>
      </c>
      <c r="BS40" s="41">
        <v>5.8999999999999997E-2</v>
      </c>
      <c r="BT40" s="41">
        <v>5.7000000000000002E-2</v>
      </c>
      <c r="BU40" s="42">
        <v>4.8500000000000001E-2</v>
      </c>
      <c r="BV40" s="41">
        <v>6.2E-2</v>
      </c>
      <c r="BW40" s="42">
        <v>7.9499999999999987E-2</v>
      </c>
      <c r="BX40" s="42">
        <v>7.2000000000000008E-2</v>
      </c>
      <c r="BY40" s="65" t="s">
        <v>38</v>
      </c>
      <c r="BZ40" s="79" t="s">
        <v>38</v>
      </c>
      <c r="CA40" s="91" t="s">
        <v>38</v>
      </c>
    </row>
    <row r="41" spans="1:79">
      <c r="A41" s="64">
        <v>32</v>
      </c>
      <c r="B41" s="82">
        <v>254615.14761499999</v>
      </c>
      <c r="C41" s="82">
        <v>4505653.1930400003</v>
      </c>
      <c r="D41" s="78">
        <v>0.29899999999999999</v>
      </c>
      <c r="E41" s="78">
        <v>0.3105</v>
      </c>
      <c r="F41" s="78">
        <v>0.312</v>
      </c>
      <c r="G41" s="79">
        <v>0.29849999999999999</v>
      </c>
      <c r="H41" s="78">
        <v>0.28749999999999998</v>
      </c>
      <c r="I41" s="78">
        <v>0.25600000000000001</v>
      </c>
      <c r="J41" s="78">
        <v>0.25850000000000001</v>
      </c>
      <c r="K41" s="78">
        <v>0.26800000000000002</v>
      </c>
      <c r="L41" s="79">
        <v>0.21149999999999999</v>
      </c>
      <c r="M41" s="79">
        <v>0.19400000000000001</v>
      </c>
      <c r="N41" s="67">
        <v>0.1845</v>
      </c>
      <c r="O41" s="67">
        <v>0.18149999999999999</v>
      </c>
      <c r="P41" s="67">
        <v>0.18149999999999999</v>
      </c>
      <c r="Q41" s="67">
        <v>0.17449999999999999</v>
      </c>
      <c r="R41" s="67">
        <v>0.19400000000000001</v>
      </c>
      <c r="S41" s="67">
        <v>0.193</v>
      </c>
      <c r="T41" s="40">
        <v>0.33</v>
      </c>
      <c r="U41" s="40">
        <v>0.32200000000000001</v>
      </c>
      <c r="V41" s="40">
        <v>0.32100000000000001</v>
      </c>
      <c r="W41" s="40">
        <v>0.35399999999999998</v>
      </c>
      <c r="X41" s="40">
        <v>0.32</v>
      </c>
      <c r="Y41" s="40">
        <v>0.38700000000000001</v>
      </c>
      <c r="Z41" s="40">
        <v>0.34499999999999997</v>
      </c>
      <c r="AA41" s="40">
        <v>0.33100000000000002</v>
      </c>
      <c r="AB41" s="40">
        <v>0.30399999999999999</v>
      </c>
      <c r="AC41" s="40">
        <v>0.34</v>
      </c>
      <c r="AD41" s="40">
        <v>0.36599999999999999</v>
      </c>
      <c r="AE41" s="40">
        <v>0.317</v>
      </c>
      <c r="AF41" s="40">
        <v>0.27600000000000002</v>
      </c>
      <c r="AG41" s="40">
        <v>0.23300000000000001</v>
      </c>
      <c r="AH41" s="40">
        <v>0.218</v>
      </c>
      <c r="AI41" s="40">
        <v>0.248</v>
      </c>
      <c r="AJ41" s="40">
        <v>0.23200000000000001</v>
      </c>
      <c r="AK41" s="40">
        <v>0.219</v>
      </c>
      <c r="AL41" s="40">
        <v>0.219</v>
      </c>
      <c r="AM41" s="40">
        <v>0.254</v>
      </c>
      <c r="AN41" s="40">
        <v>0.29099999999999998</v>
      </c>
      <c r="AO41" s="40">
        <v>0.216</v>
      </c>
      <c r="AP41" s="79" t="s">
        <v>38</v>
      </c>
      <c r="AQ41" s="40">
        <v>0.26800000000000002</v>
      </c>
      <c r="AR41" s="40">
        <v>0.27100000000000002</v>
      </c>
      <c r="AS41" s="40">
        <v>0.26100000000000001</v>
      </c>
      <c r="AT41" s="40">
        <v>0.255</v>
      </c>
      <c r="AU41" s="40">
        <v>0.24099999999999999</v>
      </c>
      <c r="AV41" s="40">
        <v>0.23200000000000001</v>
      </c>
      <c r="AW41" s="40">
        <v>0.20100000000000001</v>
      </c>
      <c r="AX41" s="40">
        <v>0.19600000000000001</v>
      </c>
      <c r="AY41" s="40">
        <v>0.18</v>
      </c>
      <c r="AZ41" s="40">
        <v>7.9000000000000001E-2</v>
      </c>
      <c r="BA41" s="40">
        <v>0.19</v>
      </c>
      <c r="BB41" s="49">
        <v>0.14350000000000002</v>
      </c>
      <c r="BC41" s="40">
        <v>0.19700000000000001</v>
      </c>
      <c r="BD41" s="79" t="s">
        <v>38</v>
      </c>
      <c r="BE41" s="79" t="s">
        <v>38</v>
      </c>
      <c r="BF41" s="79" t="s">
        <v>38</v>
      </c>
      <c r="BG41" s="40">
        <v>0.26900000000000002</v>
      </c>
      <c r="BH41" s="38">
        <v>0.25750000000000001</v>
      </c>
      <c r="BI41" s="38">
        <v>0.28300000000000003</v>
      </c>
      <c r="BJ41" s="38">
        <v>0.30499999999999999</v>
      </c>
      <c r="BK41" s="38">
        <v>0.27150000000000002</v>
      </c>
      <c r="BL41" s="38">
        <v>0.29249999999999998</v>
      </c>
      <c r="BM41" s="38">
        <v>0.30599999999999999</v>
      </c>
      <c r="BN41" s="79" t="s">
        <v>38</v>
      </c>
      <c r="BO41" s="40">
        <v>0.30149999999999999</v>
      </c>
      <c r="BP41" s="38">
        <v>0.30499999999999999</v>
      </c>
      <c r="BQ41" s="38">
        <v>0.23849999999999999</v>
      </c>
      <c r="BR41" s="41">
        <v>0.23499999999999999</v>
      </c>
      <c r="BS41" s="41">
        <v>0.22850000000000001</v>
      </c>
      <c r="BT41" s="41">
        <v>0.24299999999999999</v>
      </c>
      <c r="BU41" s="42">
        <v>0.22450000000000001</v>
      </c>
      <c r="BV41" s="41">
        <v>0.253</v>
      </c>
      <c r="BW41" s="42">
        <v>0.23100000000000001</v>
      </c>
      <c r="BX41" s="42">
        <v>0.223</v>
      </c>
      <c r="BY41" s="85">
        <f>(0.32+0.309)/2</f>
        <v>0.3145</v>
      </c>
      <c r="BZ41" s="85">
        <f>(0.283+0.288)/2</f>
        <v>0.28549999999999998</v>
      </c>
      <c r="CA41" s="91">
        <v>0.38900000000000001</v>
      </c>
    </row>
    <row r="42" spans="1:79">
      <c r="A42" s="64">
        <v>33</v>
      </c>
      <c r="B42" s="83">
        <v>254630.21045499999</v>
      </c>
      <c r="C42" s="83">
        <v>4505643.6264500003</v>
      </c>
      <c r="D42" s="78" t="s">
        <v>38</v>
      </c>
      <c r="E42" s="79" t="s">
        <v>38</v>
      </c>
      <c r="F42" s="79" t="s">
        <v>38</v>
      </c>
      <c r="G42" s="79" t="s">
        <v>38</v>
      </c>
      <c r="H42" s="79" t="s">
        <v>38</v>
      </c>
      <c r="I42" s="79" t="s">
        <v>38</v>
      </c>
      <c r="J42" s="79" t="s">
        <v>38</v>
      </c>
      <c r="K42" s="79" t="s">
        <v>38</v>
      </c>
      <c r="L42" s="79" t="s">
        <v>38</v>
      </c>
      <c r="M42" s="79" t="s">
        <v>38</v>
      </c>
      <c r="N42" s="79" t="s">
        <v>38</v>
      </c>
      <c r="O42" s="79" t="s">
        <v>38</v>
      </c>
      <c r="P42" s="79" t="s">
        <v>38</v>
      </c>
      <c r="Q42" s="79" t="s">
        <v>38</v>
      </c>
      <c r="R42" s="79" t="s">
        <v>38</v>
      </c>
      <c r="S42" s="79" t="s">
        <v>38</v>
      </c>
      <c r="T42" s="79" t="s">
        <v>38</v>
      </c>
      <c r="U42" s="79" t="s">
        <v>38</v>
      </c>
      <c r="V42" s="79" t="s">
        <v>38</v>
      </c>
      <c r="W42" s="79" t="s">
        <v>38</v>
      </c>
      <c r="X42" s="79" t="s">
        <v>38</v>
      </c>
      <c r="Y42" s="79" t="s">
        <v>38</v>
      </c>
      <c r="Z42" s="79" t="s">
        <v>38</v>
      </c>
      <c r="AA42" s="79" t="s">
        <v>38</v>
      </c>
      <c r="AB42" s="79" t="s">
        <v>38</v>
      </c>
      <c r="AC42" s="79" t="s">
        <v>38</v>
      </c>
      <c r="AD42" s="79" t="s">
        <v>38</v>
      </c>
      <c r="AE42" s="79" t="s">
        <v>38</v>
      </c>
      <c r="AF42" s="79" t="s">
        <v>38</v>
      </c>
      <c r="AG42" s="79" t="s">
        <v>38</v>
      </c>
      <c r="AH42" s="79" t="s">
        <v>38</v>
      </c>
      <c r="AI42" s="79" t="s">
        <v>38</v>
      </c>
      <c r="AJ42" s="79" t="s">
        <v>38</v>
      </c>
      <c r="AK42" s="79" t="s">
        <v>38</v>
      </c>
      <c r="AL42" s="79" t="s">
        <v>38</v>
      </c>
      <c r="AM42" s="79" t="s">
        <v>38</v>
      </c>
      <c r="AN42" s="79" t="s">
        <v>38</v>
      </c>
      <c r="AO42" s="79" t="s">
        <v>38</v>
      </c>
      <c r="AP42" s="79" t="s">
        <v>38</v>
      </c>
      <c r="AQ42" s="79" t="s">
        <v>38</v>
      </c>
      <c r="AR42" s="79" t="s">
        <v>38</v>
      </c>
      <c r="AS42" s="79" t="s">
        <v>38</v>
      </c>
      <c r="AT42" s="79" t="s">
        <v>38</v>
      </c>
      <c r="AU42" s="79" t="s">
        <v>38</v>
      </c>
      <c r="AV42" s="79" t="s">
        <v>38</v>
      </c>
      <c r="AW42" s="79" t="s">
        <v>38</v>
      </c>
      <c r="AX42" s="79" t="s">
        <v>38</v>
      </c>
      <c r="AY42" s="79" t="s">
        <v>38</v>
      </c>
      <c r="AZ42" s="79" t="s">
        <v>38</v>
      </c>
      <c r="BA42" s="79" t="s">
        <v>38</v>
      </c>
      <c r="BB42" s="79" t="s">
        <v>38</v>
      </c>
      <c r="BC42" s="79" t="s">
        <v>38</v>
      </c>
      <c r="BD42" s="79" t="s">
        <v>38</v>
      </c>
      <c r="BE42" s="79" t="s">
        <v>38</v>
      </c>
      <c r="BF42" s="79" t="s">
        <v>38</v>
      </c>
      <c r="BG42" s="79" t="s">
        <v>38</v>
      </c>
      <c r="BH42" s="79" t="s">
        <v>38</v>
      </c>
      <c r="BI42" s="79" t="s">
        <v>38</v>
      </c>
      <c r="BJ42" s="79" t="s">
        <v>38</v>
      </c>
      <c r="BK42" s="79" t="s">
        <v>38</v>
      </c>
      <c r="BL42" s="79" t="s">
        <v>38</v>
      </c>
      <c r="BM42" s="79" t="s">
        <v>38</v>
      </c>
      <c r="BN42" s="79" t="s">
        <v>38</v>
      </c>
      <c r="BO42" s="79" t="s">
        <v>38</v>
      </c>
      <c r="BP42" s="79" t="s">
        <v>38</v>
      </c>
      <c r="BQ42" s="79" t="s">
        <v>38</v>
      </c>
      <c r="BR42" s="79" t="s">
        <v>38</v>
      </c>
      <c r="BS42" s="79" t="s">
        <v>38</v>
      </c>
      <c r="BT42" s="79" t="s">
        <v>38</v>
      </c>
      <c r="BU42" s="79" t="s">
        <v>38</v>
      </c>
      <c r="BV42" s="79" t="s">
        <v>38</v>
      </c>
      <c r="BW42" s="79" t="s">
        <v>38</v>
      </c>
      <c r="BX42" s="79" t="s">
        <v>38</v>
      </c>
      <c r="BY42" s="78" t="s">
        <v>38</v>
      </c>
      <c r="BZ42" s="79" t="s">
        <v>38</v>
      </c>
      <c r="CA42" s="90" t="s">
        <v>38</v>
      </c>
    </row>
    <row r="43" spans="1:79">
      <c r="A43" s="64">
        <v>34</v>
      </c>
      <c r="B43" s="82">
        <v>254645.629514</v>
      </c>
      <c r="C43" s="82">
        <v>4505638.1997999996</v>
      </c>
      <c r="D43" s="78" t="s">
        <v>38</v>
      </c>
      <c r="E43" s="79" t="s">
        <v>38</v>
      </c>
      <c r="F43" s="79" t="s">
        <v>38</v>
      </c>
      <c r="G43" s="79" t="s">
        <v>38</v>
      </c>
      <c r="H43" s="79" t="s">
        <v>38</v>
      </c>
      <c r="I43" s="79" t="s">
        <v>38</v>
      </c>
      <c r="J43" s="79" t="s">
        <v>38</v>
      </c>
      <c r="K43" s="79" t="s">
        <v>38</v>
      </c>
      <c r="L43" s="79" t="s">
        <v>38</v>
      </c>
      <c r="M43" s="79" t="s">
        <v>38</v>
      </c>
      <c r="N43" s="79" t="s">
        <v>38</v>
      </c>
      <c r="O43" s="79" t="s">
        <v>38</v>
      </c>
      <c r="P43" s="79" t="s">
        <v>38</v>
      </c>
      <c r="Q43" s="79" t="s">
        <v>38</v>
      </c>
      <c r="R43" s="79" t="s">
        <v>38</v>
      </c>
      <c r="S43" s="79" t="s">
        <v>38</v>
      </c>
      <c r="T43" s="79" t="s">
        <v>38</v>
      </c>
      <c r="U43" s="79" t="s">
        <v>38</v>
      </c>
      <c r="V43" s="79" t="s">
        <v>38</v>
      </c>
      <c r="W43" s="79" t="s">
        <v>38</v>
      </c>
      <c r="X43" s="79" t="s">
        <v>38</v>
      </c>
      <c r="Y43" s="79" t="s">
        <v>38</v>
      </c>
      <c r="Z43" s="79" t="s">
        <v>38</v>
      </c>
      <c r="AA43" s="79" t="s">
        <v>38</v>
      </c>
      <c r="AB43" s="79" t="s">
        <v>38</v>
      </c>
      <c r="AC43" s="79" t="s">
        <v>38</v>
      </c>
      <c r="AD43" s="79" t="s">
        <v>38</v>
      </c>
      <c r="AE43" s="79" t="s">
        <v>38</v>
      </c>
      <c r="AF43" s="79" t="s">
        <v>38</v>
      </c>
      <c r="AG43" s="79" t="s">
        <v>38</v>
      </c>
      <c r="AH43" s="79" t="s">
        <v>38</v>
      </c>
      <c r="AI43" s="79" t="s">
        <v>38</v>
      </c>
      <c r="AJ43" s="79" t="s">
        <v>38</v>
      </c>
      <c r="AK43" s="79" t="s">
        <v>38</v>
      </c>
      <c r="AL43" s="79" t="s">
        <v>38</v>
      </c>
      <c r="AM43" s="79" t="s">
        <v>38</v>
      </c>
      <c r="AN43" s="79" t="s">
        <v>38</v>
      </c>
      <c r="AO43" s="79" t="s">
        <v>38</v>
      </c>
      <c r="AP43" s="79" t="s">
        <v>38</v>
      </c>
      <c r="AQ43" s="79" t="s">
        <v>38</v>
      </c>
      <c r="AR43" s="79" t="s">
        <v>38</v>
      </c>
      <c r="AS43" s="79" t="s">
        <v>38</v>
      </c>
      <c r="AT43" s="79" t="s">
        <v>38</v>
      </c>
      <c r="AU43" s="79" t="s">
        <v>38</v>
      </c>
      <c r="AV43" s="79" t="s">
        <v>38</v>
      </c>
      <c r="AW43" s="79" t="s">
        <v>38</v>
      </c>
      <c r="AX43" s="79" t="s">
        <v>38</v>
      </c>
      <c r="AY43" s="79" t="s">
        <v>38</v>
      </c>
      <c r="AZ43" s="79" t="s">
        <v>38</v>
      </c>
      <c r="BA43" s="79" t="s">
        <v>38</v>
      </c>
      <c r="BB43" s="79" t="s">
        <v>38</v>
      </c>
      <c r="BC43" s="79" t="s">
        <v>38</v>
      </c>
      <c r="BD43" s="79" t="s">
        <v>38</v>
      </c>
      <c r="BE43" s="79" t="s">
        <v>38</v>
      </c>
      <c r="BF43" s="79" t="s">
        <v>38</v>
      </c>
      <c r="BG43" s="79" t="s">
        <v>38</v>
      </c>
      <c r="BH43" s="79" t="s">
        <v>38</v>
      </c>
      <c r="BI43" s="79" t="s">
        <v>38</v>
      </c>
      <c r="BJ43" s="79" t="s">
        <v>38</v>
      </c>
      <c r="BK43" s="79" t="s">
        <v>38</v>
      </c>
      <c r="BL43" s="79" t="s">
        <v>38</v>
      </c>
      <c r="BM43" s="79" t="s">
        <v>38</v>
      </c>
      <c r="BN43" s="79" t="s">
        <v>38</v>
      </c>
      <c r="BO43" s="79" t="s">
        <v>38</v>
      </c>
      <c r="BP43" s="79" t="s">
        <v>38</v>
      </c>
      <c r="BQ43" s="79" t="s">
        <v>38</v>
      </c>
      <c r="BR43" s="79" t="s">
        <v>38</v>
      </c>
      <c r="BS43" s="79" t="s">
        <v>38</v>
      </c>
      <c r="BT43" s="79" t="s">
        <v>38</v>
      </c>
      <c r="BU43" s="79" t="s">
        <v>38</v>
      </c>
      <c r="BV43" s="79" t="s">
        <v>38</v>
      </c>
      <c r="BW43" s="79" t="s">
        <v>38</v>
      </c>
      <c r="BX43" s="79" t="s">
        <v>38</v>
      </c>
      <c r="BY43" s="78" t="s">
        <v>38</v>
      </c>
      <c r="BZ43" s="85" t="s">
        <v>38</v>
      </c>
      <c r="CA43" s="90" t="s">
        <v>38</v>
      </c>
    </row>
    <row r="44" spans="1:79">
      <c r="A44" s="64">
        <v>35</v>
      </c>
      <c r="B44" s="83">
        <v>254670.124698</v>
      </c>
      <c r="C44" s="83">
        <v>4505665.0644100001</v>
      </c>
      <c r="D44" s="78" t="s">
        <v>38</v>
      </c>
      <c r="E44" s="79" t="s">
        <v>38</v>
      </c>
      <c r="F44" s="79" t="s">
        <v>38</v>
      </c>
      <c r="G44" s="79" t="s">
        <v>38</v>
      </c>
      <c r="H44" s="79" t="s">
        <v>38</v>
      </c>
      <c r="I44" s="79" t="s">
        <v>38</v>
      </c>
      <c r="J44" s="79" t="s">
        <v>38</v>
      </c>
      <c r="K44" s="79" t="s">
        <v>38</v>
      </c>
      <c r="L44" s="79" t="s">
        <v>38</v>
      </c>
      <c r="M44" s="79" t="s">
        <v>38</v>
      </c>
      <c r="N44" s="79" t="s">
        <v>38</v>
      </c>
      <c r="O44" s="79" t="s">
        <v>38</v>
      </c>
      <c r="P44" s="79" t="s">
        <v>38</v>
      </c>
      <c r="Q44" s="79" t="s">
        <v>38</v>
      </c>
      <c r="R44" s="79" t="s">
        <v>38</v>
      </c>
      <c r="S44" s="79" t="s">
        <v>38</v>
      </c>
      <c r="T44" s="79" t="s">
        <v>38</v>
      </c>
      <c r="U44" s="79" t="s">
        <v>38</v>
      </c>
      <c r="V44" s="79" t="s">
        <v>38</v>
      </c>
      <c r="W44" s="79" t="s">
        <v>38</v>
      </c>
      <c r="X44" s="79" t="s">
        <v>38</v>
      </c>
      <c r="Y44" s="79" t="s">
        <v>38</v>
      </c>
      <c r="Z44" s="79" t="s">
        <v>38</v>
      </c>
      <c r="AA44" s="79" t="s">
        <v>38</v>
      </c>
      <c r="AB44" s="79" t="s">
        <v>38</v>
      </c>
      <c r="AC44" s="79" t="s">
        <v>38</v>
      </c>
      <c r="AD44" s="79" t="s">
        <v>38</v>
      </c>
      <c r="AE44" s="79" t="s">
        <v>38</v>
      </c>
      <c r="AF44" s="79" t="s">
        <v>38</v>
      </c>
      <c r="AG44" s="79" t="s">
        <v>38</v>
      </c>
      <c r="AH44" s="79" t="s">
        <v>38</v>
      </c>
      <c r="AI44" s="79" t="s">
        <v>38</v>
      </c>
      <c r="AJ44" s="79" t="s">
        <v>38</v>
      </c>
      <c r="AK44" s="79" t="s">
        <v>38</v>
      </c>
      <c r="AL44" s="79" t="s">
        <v>38</v>
      </c>
      <c r="AM44" s="79" t="s">
        <v>38</v>
      </c>
      <c r="AN44" s="79" t="s">
        <v>38</v>
      </c>
      <c r="AO44" s="79" t="s">
        <v>38</v>
      </c>
      <c r="AP44" s="79" t="s">
        <v>38</v>
      </c>
      <c r="AQ44" s="79" t="s">
        <v>38</v>
      </c>
      <c r="AR44" s="79" t="s">
        <v>38</v>
      </c>
      <c r="AS44" s="79" t="s">
        <v>38</v>
      </c>
      <c r="AT44" s="79" t="s">
        <v>38</v>
      </c>
      <c r="AU44" s="79" t="s">
        <v>38</v>
      </c>
      <c r="AV44" s="79" t="s">
        <v>38</v>
      </c>
      <c r="AW44" s="79" t="s">
        <v>38</v>
      </c>
      <c r="AX44" s="79" t="s">
        <v>38</v>
      </c>
      <c r="AY44" s="79" t="s">
        <v>38</v>
      </c>
      <c r="AZ44" s="79" t="s">
        <v>38</v>
      </c>
      <c r="BA44" s="79" t="s">
        <v>38</v>
      </c>
      <c r="BB44" s="79" t="s">
        <v>38</v>
      </c>
      <c r="BC44" s="79" t="s">
        <v>38</v>
      </c>
      <c r="BD44" s="79" t="s">
        <v>38</v>
      </c>
      <c r="BE44" s="79" t="s">
        <v>38</v>
      </c>
      <c r="BF44" s="79" t="s">
        <v>38</v>
      </c>
      <c r="BG44" s="79" t="s">
        <v>38</v>
      </c>
      <c r="BH44" s="79" t="s">
        <v>38</v>
      </c>
      <c r="BI44" s="79" t="s">
        <v>38</v>
      </c>
      <c r="BJ44" s="79" t="s">
        <v>38</v>
      </c>
      <c r="BK44" s="79" t="s">
        <v>38</v>
      </c>
      <c r="BL44" s="79" t="s">
        <v>38</v>
      </c>
      <c r="BM44" s="79" t="s">
        <v>38</v>
      </c>
      <c r="BN44" s="79" t="s">
        <v>38</v>
      </c>
      <c r="BO44" s="79" t="s">
        <v>38</v>
      </c>
      <c r="BP44" s="79" t="s">
        <v>38</v>
      </c>
      <c r="BQ44" s="79" t="s">
        <v>38</v>
      </c>
      <c r="BR44" s="79" t="s">
        <v>38</v>
      </c>
      <c r="BS44" s="79" t="s">
        <v>38</v>
      </c>
      <c r="BT44" s="79" t="s">
        <v>38</v>
      </c>
      <c r="BU44" s="79" t="s">
        <v>38</v>
      </c>
      <c r="BV44" s="79" t="s">
        <v>38</v>
      </c>
      <c r="BW44" s="79" t="s">
        <v>38</v>
      </c>
      <c r="BX44" s="79" t="s">
        <v>38</v>
      </c>
      <c r="BY44" s="78" t="s">
        <v>38</v>
      </c>
      <c r="BZ44" s="79" t="s">
        <v>38</v>
      </c>
      <c r="CA44" s="90" t="s">
        <v>38</v>
      </c>
    </row>
    <row r="45" spans="1:79">
      <c r="A45" s="64">
        <v>36</v>
      </c>
      <c r="B45" s="82">
        <v>254694.327835</v>
      </c>
      <c r="C45" s="82">
        <v>4505677.1803099997</v>
      </c>
      <c r="D45" s="78" t="s">
        <v>38</v>
      </c>
      <c r="E45" s="79" t="s">
        <v>38</v>
      </c>
      <c r="F45" s="79" t="s">
        <v>38</v>
      </c>
      <c r="G45" s="79" t="s">
        <v>38</v>
      </c>
      <c r="H45" s="79" t="s">
        <v>38</v>
      </c>
      <c r="I45" s="79" t="s">
        <v>38</v>
      </c>
      <c r="J45" s="79" t="s">
        <v>38</v>
      </c>
      <c r="K45" s="79" t="s">
        <v>38</v>
      </c>
      <c r="L45" s="79" t="s">
        <v>38</v>
      </c>
      <c r="M45" s="79" t="s">
        <v>38</v>
      </c>
      <c r="N45" s="79" t="s">
        <v>38</v>
      </c>
      <c r="O45" s="79" t="s">
        <v>38</v>
      </c>
      <c r="P45" s="79" t="s">
        <v>38</v>
      </c>
      <c r="Q45" s="79" t="s">
        <v>38</v>
      </c>
      <c r="R45" s="79" t="s">
        <v>38</v>
      </c>
      <c r="S45" s="79" t="s">
        <v>38</v>
      </c>
      <c r="T45" s="79" t="s">
        <v>38</v>
      </c>
      <c r="U45" s="79" t="s">
        <v>38</v>
      </c>
      <c r="V45" s="79" t="s">
        <v>38</v>
      </c>
      <c r="W45" s="79" t="s">
        <v>38</v>
      </c>
      <c r="X45" s="79" t="s">
        <v>38</v>
      </c>
      <c r="Y45" s="79" t="s">
        <v>38</v>
      </c>
      <c r="Z45" s="79" t="s">
        <v>38</v>
      </c>
      <c r="AA45" s="79" t="s">
        <v>38</v>
      </c>
      <c r="AB45" s="79" t="s">
        <v>38</v>
      </c>
      <c r="AC45" s="79" t="s">
        <v>38</v>
      </c>
      <c r="AD45" s="79" t="s">
        <v>38</v>
      </c>
      <c r="AE45" s="79" t="s">
        <v>38</v>
      </c>
      <c r="AF45" s="79" t="s">
        <v>38</v>
      </c>
      <c r="AG45" s="79" t="s">
        <v>38</v>
      </c>
      <c r="AH45" s="79" t="s">
        <v>38</v>
      </c>
      <c r="AI45" s="79" t="s">
        <v>38</v>
      </c>
      <c r="AJ45" s="79" t="s">
        <v>38</v>
      </c>
      <c r="AK45" s="79" t="s">
        <v>38</v>
      </c>
      <c r="AL45" s="79" t="s">
        <v>38</v>
      </c>
      <c r="AM45" s="79" t="s">
        <v>38</v>
      </c>
      <c r="AN45" s="79" t="s">
        <v>38</v>
      </c>
      <c r="AO45" s="79" t="s">
        <v>38</v>
      </c>
      <c r="AP45" s="79" t="s">
        <v>38</v>
      </c>
      <c r="AQ45" s="79" t="s">
        <v>38</v>
      </c>
      <c r="AR45" s="79" t="s">
        <v>38</v>
      </c>
      <c r="AS45" s="79" t="s">
        <v>38</v>
      </c>
      <c r="AT45" s="79" t="s">
        <v>38</v>
      </c>
      <c r="AU45" s="79" t="s">
        <v>38</v>
      </c>
      <c r="AV45" s="79" t="s">
        <v>38</v>
      </c>
      <c r="AW45" s="79" t="s">
        <v>38</v>
      </c>
      <c r="AX45" s="79" t="s">
        <v>38</v>
      </c>
      <c r="AY45" s="79" t="s">
        <v>38</v>
      </c>
      <c r="AZ45" s="79" t="s">
        <v>38</v>
      </c>
      <c r="BA45" s="79" t="s">
        <v>38</v>
      </c>
      <c r="BB45" s="79" t="s">
        <v>38</v>
      </c>
      <c r="BC45" s="79" t="s">
        <v>38</v>
      </c>
      <c r="BD45" s="79" t="s">
        <v>38</v>
      </c>
      <c r="BE45" s="79" t="s">
        <v>38</v>
      </c>
      <c r="BF45" s="79" t="s">
        <v>38</v>
      </c>
      <c r="BG45" s="79" t="s">
        <v>38</v>
      </c>
      <c r="BH45" s="79" t="s">
        <v>38</v>
      </c>
      <c r="BI45" s="79" t="s">
        <v>38</v>
      </c>
      <c r="BJ45" s="79" t="s">
        <v>38</v>
      </c>
      <c r="BK45" s="79" t="s">
        <v>38</v>
      </c>
      <c r="BL45" s="79" t="s">
        <v>38</v>
      </c>
      <c r="BM45" s="79" t="s">
        <v>38</v>
      </c>
      <c r="BN45" s="79" t="s">
        <v>38</v>
      </c>
      <c r="BO45" s="79" t="s">
        <v>38</v>
      </c>
      <c r="BP45" s="79" t="s">
        <v>38</v>
      </c>
      <c r="BQ45" s="79" t="s">
        <v>38</v>
      </c>
      <c r="BR45" s="79" t="s">
        <v>38</v>
      </c>
      <c r="BS45" s="79" t="s">
        <v>38</v>
      </c>
      <c r="BT45" s="79" t="s">
        <v>38</v>
      </c>
      <c r="BU45" s="79" t="s">
        <v>38</v>
      </c>
      <c r="BV45" s="79" t="s">
        <v>38</v>
      </c>
      <c r="BW45" s="79" t="s">
        <v>38</v>
      </c>
      <c r="BX45" s="79" t="s">
        <v>38</v>
      </c>
      <c r="BY45" s="78" t="s">
        <v>38</v>
      </c>
      <c r="BZ45" s="79" t="s">
        <v>38</v>
      </c>
      <c r="CA45" s="90" t="s">
        <v>38</v>
      </c>
    </row>
    <row r="46" spans="1:79">
      <c r="A46" s="64">
        <v>37</v>
      </c>
      <c r="B46" s="82">
        <v>254278.222178</v>
      </c>
      <c r="C46" s="82">
        <v>4505598.09038</v>
      </c>
      <c r="D46" s="78" t="s">
        <v>38</v>
      </c>
      <c r="E46" s="79" t="s">
        <v>38</v>
      </c>
      <c r="F46" s="79" t="s">
        <v>38</v>
      </c>
      <c r="G46" s="79" t="s">
        <v>38</v>
      </c>
      <c r="H46" s="79" t="s">
        <v>38</v>
      </c>
      <c r="I46" s="79" t="s">
        <v>38</v>
      </c>
      <c r="J46" s="79" t="s">
        <v>38</v>
      </c>
      <c r="K46" s="79" t="s">
        <v>38</v>
      </c>
      <c r="L46" s="79" t="s">
        <v>38</v>
      </c>
      <c r="M46" s="79" t="s">
        <v>38</v>
      </c>
      <c r="N46" s="79" t="s">
        <v>38</v>
      </c>
      <c r="O46" s="79" t="s">
        <v>38</v>
      </c>
      <c r="P46" s="79" t="s">
        <v>38</v>
      </c>
      <c r="Q46" s="79" t="s">
        <v>38</v>
      </c>
      <c r="R46" s="79" t="s">
        <v>38</v>
      </c>
      <c r="S46" s="79" t="s">
        <v>38</v>
      </c>
      <c r="T46" s="79" t="s">
        <v>38</v>
      </c>
      <c r="U46" s="79" t="s">
        <v>38</v>
      </c>
      <c r="V46" s="79" t="s">
        <v>38</v>
      </c>
      <c r="W46" s="79" t="s">
        <v>38</v>
      </c>
      <c r="X46" s="79" t="s">
        <v>38</v>
      </c>
      <c r="Y46" s="79" t="s">
        <v>38</v>
      </c>
      <c r="Z46" s="79" t="s">
        <v>38</v>
      </c>
      <c r="AA46" s="79" t="s">
        <v>38</v>
      </c>
      <c r="AB46" s="79" t="s">
        <v>38</v>
      </c>
      <c r="AC46" s="79" t="s">
        <v>38</v>
      </c>
      <c r="AD46" s="79" t="s">
        <v>38</v>
      </c>
      <c r="AE46" s="79" t="s">
        <v>38</v>
      </c>
      <c r="AF46" s="79" t="s">
        <v>38</v>
      </c>
      <c r="AG46" s="79" t="s">
        <v>38</v>
      </c>
      <c r="AH46" s="79" t="s">
        <v>38</v>
      </c>
      <c r="AI46" s="79" t="s">
        <v>38</v>
      </c>
      <c r="AJ46" s="79" t="s">
        <v>38</v>
      </c>
      <c r="AK46" s="79" t="s">
        <v>38</v>
      </c>
      <c r="AL46" s="79" t="s">
        <v>38</v>
      </c>
      <c r="AM46" s="79" t="s">
        <v>38</v>
      </c>
      <c r="AN46" s="79" t="s">
        <v>38</v>
      </c>
      <c r="AO46" s="79" t="s">
        <v>38</v>
      </c>
      <c r="AP46" s="79" t="s">
        <v>38</v>
      </c>
      <c r="AQ46" s="79" t="s">
        <v>38</v>
      </c>
      <c r="AR46" s="79" t="s">
        <v>38</v>
      </c>
      <c r="AS46" s="79" t="s">
        <v>38</v>
      </c>
      <c r="AT46" s="79" t="s">
        <v>38</v>
      </c>
      <c r="AU46" s="79" t="s">
        <v>38</v>
      </c>
      <c r="AV46" s="79" t="s">
        <v>38</v>
      </c>
      <c r="AW46" s="79" t="s">
        <v>38</v>
      </c>
      <c r="AX46" s="79" t="s">
        <v>38</v>
      </c>
      <c r="AY46" s="79" t="s">
        <v>38</v>
      </c>
      <c r="AZ46" s="79" t="s">
        <v>38</v>
      </c>
      <c r="BA46" s="79" t="s">
        <v>38</v>
      </c>
      <c r="BB46" s="79" t="s">
        <v>38</v>
      </c>
      <c r="BC46" s="79" t="s">
        <v>38</v>
      </c>
      <c r="BD46" s="79" t="s">
        <v>38</v>
      </c>
      <c r="BE46" s="79" t="s">
        <v>38</v>
      </c>
      <c r="BF46" s="79" t="s">
        <v>38</v>
      </c>
      <c r="BG46" s="79" t="s">
        <v>38</v>
      </c>
      <c r="BH46" s="79" t="s">
        <v>38</v>
      </c>
      <c r="BI46" s="79" t="s">
        <v>38</v>
      </c>
      <c r="BJ46" s="79" t="s">
        <v>38</v>
      </c>
      <c r="BK46" s="79" t="s">
        <v>38</v>
      </c>
      <c r="BL46" s="79" t="s">
        <v>38</v>
      </c>
      <c r="BM46" s="79" t="s">
        <v>38</v>
      </c>
      <c r="BN46" s="79" t="s">
        <v>38</v>
      </c>
      <c r="BO46" s="79" t="s">
        <v>38</v>
      </c>
      <c r="BP46" s="79" t="s">
        <v>38</v>
      </c>
      <c r="BQ46" s="79" t="s">
        <v>38</v>
      </c>
      <c r="BR46" s="79" t="s">
        <v>38</v>
      </c>
      <c r="BS46" s="79" t="s">
        <v>38</v>
      </c>
      <c r="BT46" s="79" t="s">
        <v>38</v>
      </c>
      <c r="BU46" s="79" t="s">
        <v>38</v>
      </c>
      <c r="BV46" s="79" t="s">
        <v>38</v>
      </c>
      <c r="BW46" s="79" t="s">
        <v>38</v>
      </c>
      <c r="BX46" s="79" t="s">
        <v>38</v>
      </c>
      <c r="BY46" s="78" t="s">
        <v>38</v>
      </c>
      <c r="BZ46" s="79" t="s">
        <v>38</v>
      </c>
      <c r="CA46" s="90" t="s">
        <v>38</v>
      </c>
    </row>
    <row r="47" spans="1:79">
      <c r="A47" s="64">
        <v>38</v>
      </c>
      <c r="B47" s="82">
        <v>254283.86705500001</v>
      </c>
      <c r="C47" s="82">
        <v>4505606.6247800002</v>
      </c>
      <c r="D47" s="78" t="s">
        <v>38</v>
      </c>
      <c r="E47" s="78">
        <v>0.313</v>
      </c>
      <c r="F47" s="78">
        <v>0.33650000000000002</v>
      </c>
      <c r="G47" s="79">
        <v>0.39100000000000001</v>
      </c>
      <c r="H47" s="78">
        <v>0.35799999999999998</v>
      </c>
      <c r="I47" s="78">
        <v>0.3085</v>
      </c>
      <c r="J47" s="78">
        <v>0.29199999999999998</v>
      </c>
      <c r="K47" s="78">
        <v>0.20799999999999999</v>
      </c>
      <c r="L47" s="78">
        <v>0.26250000000000001</v>
      </c>
      <c r="M47" s="78">
        <v>0.2545</v>
      </c>
      <c r="N47" s="67">
        <v>0.251</v>
      </c>
      <c r="O47" s="67">
        <v>0.255</v>
      </c>
      <c r="P47" s="67">
        <v>0.249</v>
      </c>
      <c r="Q47" s="67">
        <v>0.23200000000000001</v>
      </c>
      <c r="R47" s="67">
        <v>0.26</v>
      </c>
      <c r="S47" s="67">
        <v>0.27050000000000002</v>
      </c>
      <c r="T47" s="40">
        <v>0.52600000000000002</v>
      </c>
      <c r="U47" s="40">
        <v>0.51200000000000001</v>
      </c>
      <c r="V47" s="40">
        <v>0.57299999999999995</v>
      </c>
      <c r="W47" s="40" t="s">
        <v>38</v>
      </c>
      <c r="X47" s="40">
        <v>0.64700000000000002</v>
      </c>
      <c r="Y47" s="40">
        <v>0.60599999999999998</v>
      </c>
      <c r="Z47" s="40">
        <v>0.64700000000000002</v>
      </c>
      <c r="AA47" s="40">
        <v>0.64300000000000002</v>
      </c>
      <c r="AB47" s="40">
        <v>0.60699999999999998</v>
      </c>
      <c r="AC47" s="40" t="s">
        <v>38</v>
      </c>
      <c r="AD47" s="40">
        <v>0.52800000000000002</v>
      </c>
      <c r="AE47" s="40">
        <v>0.53400000000000003</v>
      </c>
      <c r="AF47" s="40">
        <v>0.5</v>
      </c>
      <c r="AG47" s="40">
        <v>0.55800000000000005</v>
      </c>
      <c r="AH47" s="40">
        <v>0.39300000000000002</v>
      </c>
      <c r="AI47" s="40">
        <v>0.47099999999999997</v>
      </c>
      <c r="AJ47" s="40">
        <v>0.47799999999999998</v>
      </c>
      <c r="AK47" s="40">
        <v>0.38300000000000001</v>
      </c>
      <c r="AL47" s="40">
        <v>0.38300000000000001</v>
      </c>
      <c r="AM47" s="40">
        <v>0.48899999999999999</v>
      </c>
      <c r="AN47" s="40">
        <v>0.39200000000000002</v>
      </c>
      <c r="AO47" s="40">
        <v>0.32900000000000001</v>
      </c>
      <c r="AP47" s="40" t="s">
        <v>38</v>
      </c>
      <c r="AQ47" s="40">
        <v>0.307</v>
      </c>
      <c r="AR47" s="40">
        <v>0.314</v>
      </c>
      <c r="AS47" s="40">
        <v>0.30499999999999999</v>
      </c>
      <c r="AT47" s="40">
        <v>0.29199999999999998</v>
      </c>
      <c r="AU47" s="40">
        <v>0.30299999999999999</v>
      </c>
      <c r="AV47" s="40">
        <v>0.29799999999999999</v>
      </c>
      <c r="AW47" s="40">
        <v>0.26700000000000002</v>
      </c>
      <c r="AX47" s="40">
        <v>0.249</v>
      </c>
      <c r="AY47" s="40">
        <v>0.25700000000000001</v>
      </c>
      <c r="AZ47" s="40">
        <v>0.253</v>
      </c>
      <c r="BA47" s="40">
        <v>0.23100000000000001</v>
      </c>
      <c r="BB47" s="49">
        <v>0.1895</v>
      </c>
      <c r="BC47" s="40">
        <v>0.25</v>
      </c>
      <c r="BD47" s="79" t="s">
        <v>38</v>
      </c>
      <c r="BE47" s="79" t="s">
        <v>38</v>
      </c>
      <c r="BF47" s="79" t="s">
        <v>38</v>
      </c>
      <c r="BG47" s="40">
        <v>0.247</v>
      </c>
      <c r="BH47" s="38">
        <v>0.35099999999999998</v>
      </c>
      <c r="BI47" s="38">
        <v>0.35849999999999999</v>
      </c>
      <c r="BJ47" s="38">
        <v>0.39250000000000002</v>
      </c>
      <c r="BK47" s="38">
        <v>0.36799999999999999</v>
      </c>
      <c r="BL47" s="38">
        <v>0.35199999999999998</v>
      </c>
      <c r="BM47" s="38">
        <v>0.35099999999999998</v>
      </c>
      <c r="BN47" s="40">
        <v>0.33950000000000002</v>
      </c>
      <c r="BO47" s="40">
        <v>0.39950000000000002</v>
      </c>
      <c r="BP47" s="38">
        <v>0.33400000000000002</v>
      </c>
      <c r="BQ47" s="38">
        <v>0.29199999999999998</v>
      </c>
      <c r="BR47" s="41">
        <v>0.28699999999999998</v>
      </c>
      <c r="BS47" s="41">
        <v>0.28499999999999998</v>
      </c>
      <c r="BT47" s="41">
        <v>0.27150000000000002</v>
      </c>
      <c r="BU47" s="42">
        <v>0.26500000000000001</v>
      </c>
      <c r="BV47" s="41">
        <v>0.34350000000000003</v>
      </c>
      <c r="BW47" s="42">
        <v>0.26</v>
      </c>
      <c r="BX47" s="42">
        <v>0.26850000000000002</v>
      </c>
      <c r="BY47" s="85">
        <f>(0.363+0.367)/2</f>
        <v>0.36499999999999999</v>
      </c>
      <c r="BZ47" s="85">
        <f>(0.507+0.515)/2</f>
        <v>0.51100000000000001</v>
      </c>
      <c r="CA47" s="91">
        <v>0.35149999999999998</v>
      </c>
    </row>
    <row r="48" spans="1:79">
      <c r="A48" s="64">
        <v>39</v>
      </c>
      <c r="B48" s="83">
        <v>254326.89087</v>
      </c>
      <c r="C48" s="83">
        <v>4505589.7420199998</v>
      </c>
      <c r="D48" s="78" t="s">
        <v>38</v>
      </c>
      <c r="E48" s="79" t="s">
        <v>38</v>
      </c>
      <c r="F48" s="79" t="s">
        <v>38</v>
      </c>
      <c r="G48" s="79" t="s">
        <v>38</v>
      </c>
      <c r="H48" s="79" t="s">
        <v>38</v>
      </c>
      <c r="I48" s="79" t="s">
        <v>38</v>
      </c>
      <c r="J48" s="79" t="s">
        <v>38</v>
      </c>
      <c r="K48" s="79" t="s">
        <v>38</v>
      </c>
      <c r="L48" s="79" t="s">
        <v>38</v>
      </c>
      <c r="M48" s="79" t="s">
        <v>38</v>
      </c>
      <c r="N48" s="79" t="s">
        <v>38</v>
      </c>
      <c r="O48" s="79" t="s">
        <v>38</v>
      </c>
      <c r="P48" s="79" t="s">
        <v>38</v>
      </c>
      <c r="Q48" s="79" t="s">
        <v>38</v>
      </c>
      <c r="R48" s="79" t="s">
        <v>38</v>
      </c>
      <c r="S48" s="79" t="s">
        <v>38</v>
      </c>
      <c r="T48" s="79" t="s">
        <v>38</v>
      </c>
      <c r="U48" s="79" t="s">
        <v>38</v>
      </c>
      <c r="V48" s="79" t="s">
        <v>38</v>
      </c>
      <c r="W48" s="79" t="s">
        <v>38</v>
      </c>
      <c r="X48" s="79" t="s">
        <v>38</v>
      </c>
      <c r="Y48" s="79" t="s">
        <v>38</v>
      </c>
      <c r="Z48" s="79" t="s">
        <v>38</v>
      </c>
      <c r="AA48" s="79" t="s">
        <v>38</v>
      </c>
      <c r="AB48" s="79" t="s">
        <v>38</v>
      </c>
      <c r="AC48" s="79" t="s">
        <v>38</v>
      </c>
      <c r="AD48" s="79" t="s">
        <v>38</v>
      </c>
      <c r="AE48" s="79" t="s">
        <v>38</v>
      </c>
      <c r="AF48" s="79" t="s">
        <v>38</v>
      </c>
      <c r="AG48" s="79" t="s">
        <v>38</v>
      </c>
      <c r="AH48" s="79" t="s">
        <v>38</v>
      </c>
      <c r="AI48" s="79" t="s">
        <v>38</v>
      </c>
      <c r="AJ48" s="79" t="s">
        <v>38</v>
      </c>
      <c r="AK48" s="79" t="s">
        <v>38</v>
      </c>
      <c r="AL48" s="79" t="s">
        <v>38</v>
      </c>
      <c r="AM48" s="79" t="s">
        <v>38</v>
      </c>
      <c r="AN48" s="79" t="s">
        <v>38</v>
      </c>
      <c r="AO48" s="79" t="s">
        <v>38</v>
      </c>
      <c r="AP48" s="79" t="s">
        <v>38</v>
      </c>
      <c r="AQ48" s="79" t="s">
        <v>38</v>
      </c>
      <c r="AR48" s="79" t="s">
        <v>38</v>
      </c>
      <c r="AS48" s="79" t="s">
        <v>38</v>
      </c>
      <c r="AT48" s="79" t="s">
        <v>38</v>
      </c>
      <c r="AU48" s="79" t="s">
        <v>38</v>
      </c>
      <c r="AV48" s="79" t="s">
        <v>38</v>
      </c>
      <c r="AW48" s="79" t="s">
        <v>38</v>
      </c>
      <c r="AX48" s="79" t="s">
        <v>38</v>
      </c>
      <c r="AY48" s="79" t="s">
        <v>38</v>
      </c>
      <c r="AZ48" s="79" t="s">
        <v>38</v>
      </c>
      <c r="BA48" s="79" t="s">
        <v>38</v>
      </c>
      <c r="BB48" s="79" t="s">
        <v>38</v>
      </c>
      <c r="BC48" s="79" t="s">
        <v>38</v>
      </c>
      <c r="BD48" s="79" t="s">
        <v>38</v>
      </c>
      <c r="BE48" s="79" t="s">
        <v>38</v>
      </c>
      <c r="BF48" s="79" t="s">
        <v>38</v>
      </c>
      <c r="BG48" s="79" t="s">
        <v>38</v>
      </c>
      <c r="BH48" s="79" t="s">
        <v>38</v>
      </c>
      <c r="BI48" s="79" t="s">
        <v>38</v>
      </c>
      <c r="BJ48" s="79" t="s">
        <v>38</v>
      </c>
      <c r="BK48" s="79" t="s">
        <v>38</v>
      </c>
      <c r="BL48" s="79" t="s">
        <v>38</v>
      </c>
      <c r="BM48" s="79" t="s">
        <v>38</v>
      </c>
      <c r="BN48" s="79" t="s">
        <v>38</v>
      </c>
      <c r="BO48" s="79" t="s">
        <v>38</v>
      </c>
      <c r="BP48" s="79" t="s">
        <v>38</v>
      </c>
      <c r="BQ48" s="79" t="s">
        <v>38</v>
      </c>
      <c r="BR48" s="79" t="s">
        <v>38</v>
      </c>
      <c r="BS48" s="79" t="s">
        <v>38</v>
      </c>
      <c r="BT48" s="79" t="s">
        <v>38</v>
      </c>
      <c r="BU48" s="79" t="s">
        <v>38</v>
      </c>
      <c r="BV48" s="79" t="s">
        <v>38</v>
      </c>
      <c r="BW48" s="79" t="s">
        <v>38</v>
      </c>
      <c r="BX48" s="79" t="s">
        <v>38</v>
      </c>
      <c r="BY48" s="78" t="s">
        <v>38</v>
      </c>
      <c r="BZ48" s="79" t="s">
        <v>38</v>
      </c>
      <c r="CA48" s="90" t="s">
        <v>38</v>
      </c>
    </row>
    <row r="49" spans="1:79">
      <c r="A49" s="64">
        <v>40</v>
      </c>
      <c r="B49" s="82">
        <v>254322.92004600001</v>
      </c>
      <c r="C49" s="82">
        <v>4505620.3210300002</v>
      </c>
      <c r="D49" s="78" t="s">
        <v>38</v>
      </c>
      <c r="E49" s="79" t="s">
        <v>38</v>
      </c>
      <c r="F49" s="79" t="s">
        <v>38</v>
      </c>
      <c r="G49" s="79" t="s">
        <v>38</v>
      </c>
      <c r="H49" s="79" t="s">
        <v>38</v>
      </c>
      <c r="I49" s="79" t="s">
        <v>38</v>
      </c>
      <c r="J49" s="79" t="s">
        <v>38</v>
      </c>
      <c r="K49" s="79" t="s">
        <v>38</v>
      </c>
      <c r="L49" s="79" t="s">
        <v>38</v>
      </c>
      <c r="M49" s="79" t="s">
        <v>38</v>
      </c>
      <c r="N49" s="79" t="s">
        <v>38</v>
      </c>
      <c r="O49" s="79" t="s">
        <v>38</v>
      </c>
      <c r="P49" s="79" t="s">
        <v>38</v>
      </c>
      <c r="Q49" s="79" t="s">
        <v>38</v>
      </c>
      <c r="R49" s="79" t="s">
        <v>38</v>
      </c>
      <c r="S49" s="79" t="s">
        <v>38</v>
      </c>
      <c r="T49" s="79" t="s">
        <v>38</v>
      </c>
      <c r="U49" s="79" t="s">
        <v>38</v>
      </c>
      <c r="V49" s="79" t="s">
        <v>38</v>
      </c>
      <c r="W49" s="79" t="s">
        <v>38</v>
      </c>
      <c r="X49" s="79" t="s">
        <v>38</v>
      </c>
      <c r="Y49" s="79" t="s">
        <v>38</v>
      </c>
      <c r="Z49" s="79" t="s">
        <v>38</v>
      </c>
      <c r="AA49" s="79" t="s">
        <v>38</v>
      </c>
      <c r="AB49" s="79" t="s">
        <v>38</v>
      </c>
      <c r="AC49" s="79" t="s">
        <v>38</v>
      </c>
      <c r="AD49" s="79" t="s">
        <v>38</v>
      </c>
      <c r="AE49" s="79" t="s">
        <v>38</v>
      </c>
      <c r="AF49" s="79" t="s">
        <v>38</v>
      </c>
      <c r="AG49" s="79" t="s">
        <v>38</v>
      </c>
      <c r="AH49" s="79" t="s">
        <v>38</v>
      </c>
      <c r="AI49" s="79" t="s">
        <v>38</v>
      </c>
      <c r="AJ49" s="79" t="s">
        <v>38</v>
      </c>
      <c r="AK49" s="79" t="s">
        <v>38</v>
      </c>
      <c r="AL49" s="79" t="s">
        <v>38</v>
      </c>
      <c r="AM49" s="79" t="s">
        <v>38</v>
      </c>
      <c r="AN49" s="79" t="s">
        <v>38</v>
      </c>
      <c r="AO49" s="79" t="s">
        <v>38</v>
      </c>
      <c r="AP49" s="79" t="s">
        <v>38</v>
      </c>
      <c r="AQ49" s="79" t="s">
        <v>38</v>
      </c>
      <c r="AR49" s="79" t="s">
        <v>38</v>
      </c>
      <c r="AS49" s="79" t="s">
        <v>38</v>
      </c>
      <c r="AT49" s="79" t="s">
        <v>38</v>
      </c>
      <c r="AU49" s="79" t="s">
        <v>38</v>
      </c>
      <c r="AV49" s="79" t="s">
        <v>38</v>
      </c>
      <c r="AW49" s="79" t="s">
        <v>38</v>
      </c>
      <c r="AX49" s="79" t="s">
        <v>38</v>
      </c>
      <c r="AY49" s="79" t="s">
        <v>38</v>
      </c>
      <c r="AZ49" s="79" t="s">
        <v>38</v>
      </c>
      <c r="BA49" s="79" t="s">
        <v>38</v>
      </c>
      <c r="BB49" s="79" t="s">
        <v>38</v>
      </c>
      <c r="BC49" s="79" t="s">
        <v>38</v>
      </c>
      <c r="BD49" s="79" t="s">
        <v>38</v>
      </c>
      <c r="BE49" s="79" t="s">
        <v>38</v>
      </c>
      <c r="BF49" s="79" t="s">
        <v>38</v>
      </c>
      <c r="BG49" s="79" t="s">
        <v>38</v>
      </c>
      <c r="BH49" s="79" t="s">
        <v>38</v>
      </c>
      <c r="BI49" s="79" t="s">
        <v>38</v>
      </c>
      <c r="BJ49" s="79" t="s">
        <v>38</v>
      </c>
      <c r="BK49" s="79" t="s">
        <v>38</v>
      </c>
      <c r="BL49" s="79" t="s">
        <v>38</v>
      </c>
      <c r="BM49" s="79" t="s">
        <v>38</v>
      </c>
      <c r="BN49" s="79" t="s">
        <v>38</v>
      </c>
      <c r="BO49" s="79" t="s">
        <v>38</v>
      </c>
      <c r="BP49" s="79" t="s">
        <v>38</v>
      </c>
      <c r="BQ49" s="79" t="s">
        <v>38</v>
      </c>
      <c r="BR49" s="79" t="s">
        <v>38</v>
      </c>
      <c r="BS49" s="79" t="s">
        <v>38</v>
      </c>
      <c r="BT49" s="79" t="s">
        <v>38</v>
      </c>
      <c r="BU49" s="79" t="s">
        <v>38</v>
      </c>
      <c r="BV49" s="79" t="s">
        <v>38</v>
      </c>
      <c r="BW49" s="79" t="s">
        <v>38</v>
      </c>
      <c r="BX49" s="79" t="s">
        <v>38</v>
      </c>
      <c r="BY49" s="78" t="s">
        <v>38</v>
      </c>
      <c r="BZ49" s="85" t="s">
        <v>38</v>
      </c>
      <c r="CA49" s="90" t="s">
        <v>38</v>
      </c>
    </row>
    <row r="50" spans="1:79">
      <c r="A50" s="64">
        <v>41</v>
      </c>
      <c r="B50" s="82">
        <v>254361.30648100001</v>
      </c>
      <c r="C50" s="82">
        <v>4505599.5975200003</v>
      </c>
      <c r="D50" s="78" t="s">
        <v>38</v>
      </c>
      <c r="E50" s="79" t="s">
        <v>38</v>
      </c>
      <c r="F50" s="79" t="s">
        <v>38</v>
      </c>
      <c r="G50" s="79" t="s">
        <v>38</v>
      </c>
      <c r="H50" s="79" t="s">
        <v>38</v>
      </c>
      <c r="I50" s="79" t="s">
        <v>38</v>
      </c>
      <c r="J50" s="79" t="s">
        <v>38</v>
      </c>
      <c r="K50" s="79" t="s">
        <v>38</v>
      </c>
      <c r="L50" s="79" t="s">
        <v>38</v>
      </c>
      <c r="M50" s="79" t="s">
        <v>38</v>
      </c>
      <c r="N50" s="79" t="s">
        <v>38</v>
      </c>
      <c r="O50" s="79" t="s">
        <v>38</v>
      </c>
      <c r="P50" s="79" t="s">
        <v>38</v>
      </c>
      <c r="Q50" s="79" t="s">
        <v>38</v>
      </c>
      <c r="R50" s="79" t="s">
        <v>38</v>
      </c>
      <c r="S50" s="79" t="s">
        <v>38</v>
      </c>
      <c r="T50" s="79" t="s">
        <v>38</v>
      </c>
      <c r="U50" s="79" t="s">
        <v>38</v>
      </c>
      <c r="V50" s="79" t="s">
        <v>38</v>
      </c>
      <c r="W50" s="79" t="s">
        <v>38</v>
      </c>
      <c r="X50" s="79" t="s">
        <v>38</v>
      </c>
      <c r="Y50" s="79" t="s">
        <v>38</v>
      </c>
      <c r="Z50" s="79" t="s">
        <v>38</v>
      </c>
      <c r="AA50" s="79" t="s">
        <v>38</v>
      </c>
      <c r="AB50" s="79" t="s">
        <v>38</v>
      </c>
      <c r="AC50" s="79" t="s">
        <v>38</v>
      </c>
      <c r="AD50" s="79" t="s">
        <v>38</v>
      </c>
      <c r="AE50" s="79" t="s">
        <v>38</v>
      </c>
      <c r="AF50" s="79" t="s">
        <v>38</v>
      </c>
      <c r="AG50" s="79" t="s">
        <v>38</v>
      </c>
      <c r="AH50" s="79" t="s">
        <v>38</v>
      </c>
      <c r="AI50" s="79" t="s">
        <v>38</v>
      </c>
      <c r="AJ50" s="79" t="s">
        <v>38</v>
      </c>
      <c r="AK50" s="79" t="s">
        <v>38</v>
      </c>
      <c r="AL50" s="79" t="s">
        <v>38</v>
      </c>
      <c r="AM50" s="79" t="s">
        <v>38</v>
      </c>
      <c r="AN50" s="79" t="s">
        <v>38</v>
      </c>
      <c r="AO50" s="79" t="s">
        <v>38</v>
      </c>
      <c r="AP50" s="79" t="s">
        <v>38</v>
      </c>
      <c r="AQ50" s="79" t="s">
        <v>38</v>
      </c>
      <c r="AR50" s="79" t="s">
        <v>38</v>
      </c>
      <c r="AS50" s="79" t="s">
        <v>38</v>
      </c>
      <c r="AT50" s="79" t="s">
        <v>38</v>
      </c>
      <c r="AU50" s="79" t="s">
        <v>38</v>
      </c>
      <c r="AV50" s="79" t="s">
        <v>38</v>
      </c>
      <c r="AW50" s="79" t="s">
        <v>38</v>
      </c>
      <c r="AX50" s="79" t="s">
        <v>38</v>
      </c>
      <c r="AY50" s="79" t="s">
        <v>38</v>
      </c>
      <c r="AZ50" s="79" t="s">
        <v>38</v>
      </c>
      <c r="BA50" s="79" t="s">
        <v>38</v>
      </c>
      <c r="BB50" s="79" t="s">
        <v>38</v>
      </c>
      <c r="BC50" s="79" t="s">
        <v>38</v>
      </c>
      <c r="BD50" s="79" t="s">
        <v>38</v>
      </c>
      <c r="BE50" s="79" t="s">
        <v>38</v>
      </c>
      <c r="BF50" s="79" t="s">
        <v>38</v>
      </c>
      <c r="BG50" s="79" t="s">
        <v>38</v>
      </c>
      <c r="BH50" s="79" t="s">
        <v>38</v>
      </c>
      <c r="BI50" s="79" t="s">
        <v>38</v>
      </c>
      <c r="BJ50" s="79" t="s">
        <v>38</v>
      </c>
      <c r="BK50" s="79" t="s">
        <v>38</v>
      </c>
      <c r="BL50" s="79" t="s">
        <v>38</v>
      </c>
      <c r="BM50" s="79" t="s">
        <v>38</v>
      </c>
      <c r="BN50" s="79" t="s">
        <v>38</v>
      </c>
      <c r="BO50" s="79" t="s">
        <v>38</v>
      </c>
      <c r="BP50" s="79" t="s">
        <v>38</v>
      </c>
      <c r="BQ50" s="79" t="s">
        <v>38</v>
      </c>
      <c r="BR50" s="79" t="s">
        <v>38</v>
      </c>
      <c r="BS50" s="79" t="s">
        <v>38</v>
      </c>
      <c r="BT50" s="79" t="s">
        <v>38</v>
      </c>
      <c r="BU50" s="79" t="s">
        <v>38</v>
      </c>
      <c r="BV50" s="79" t="s">
        <v>38</v>
      </c>
      <c r="BW50" s="79" t="s">
        <v>38</v>
      </c>
      <c r="BX50" s="79" t="s">
        <v>38</v>
      </c>
      <c r="BY50" s="78" t="s">
        <v>38</v>
      </c>
      <c r="BZ50" s="79" t="s">
        <v>38</v>
      </c>
      <c r="CA50" s="90" t="s">
        <v>38</v>
      </c>
    </row>
    <row r="51" spans="1:79">
      <c r="A51" s="64">
        <v>42</v>
      </c>
      <c r="B51" s="83">
        <v>254379.907389</v>
      </c>
      <c r="C51" s="83">
        <v>4505630.6267799996</v>
      </c>
      <c r="D51" s="78" t="s">
        <v>38</v>
      </c>
      <c r="E51" s="79" t="s">
        <v>38</v>
      </c>
      <c r="F51" s="79" t="s">
        <v>38</v>
      </c>
      <c r="G51" s="79" t="s">
        <v>38</v>
      </c>
      <c r="H51" s="79" t="s">
        <v>38</v>
      </c>
      <c r="I51" s="79" t="s">
        <v>38</v>
      </c>
      <c r="J51" s="79" t="s">
        <v>38</v>
      </c>
      <c r="K51" s="79" t="s">
        <v>38</v>
      </c>
      <c r="L51" s="79" t="s">
        <v>38</v>
      </c>
      <c r="M51" s="79" t="s">
        <v>38</v>
      </c>
      <c r="N51" s="79" t="s">
        <v>38</v>
      </c>
      <c r="O51" s="79" t="s">
        <v>38</v>
      </c>
      <c r="P51" s="79" t="s">
        <v>38</v>
      </c>
      <c r="Q51" s="79" t="s">
        <v>38</v>
      </c>
      <c r="R51" s="79" t="s">
        <v>38</v>
      </c>
      <c r="S51" s="79" t="s">
        <v>38</v>
      </c>
      <c r="T51" s="79" t="s">
        <v>38</v>
      </c>
      <c r="U51" s="79" t="s">
        <v>38</v>
      </c>
      <c r="V51" s="79" t="s">
        <v>38</v>
      </c>
      <c r="W51" s="79" t="s">
        <v>38</v>
      </c>
      <c r="X51" s="79" t="s">
        <v>38</v>
      </c>
      <c r="Y51" s="79" t="s">
        <v>38</v>
      </c>
      <c r="Z51" s="79" t="s">
        <v>38</v>
      </c>
      <c r="AA51" s="79" t="s">
        <v>38</v>
      </c>
      <c r="AB51" s="79" t="s">
        <v>38</v>
      </c>
      <c r="AC51" s="79" t="s">
        <v>38</v>
      </c>
      <c r="AD51" s="79" t="s">
        <v>38</v>
      </c>
      <c r="AE51" s="79" t="s">
        <v>38</v>
      </c>
      <c r="AF51" s="79" t="s">
        <v>38</v>
      </c>
      <c r="AG51" s="79" t="s">
        <v>38</v>
      </c>
      <c r="AH51" s="79" t="s">
        <v>38</v>
      </c>
      <c r="AI51" s="79" t="s">
        <v>38</v>
      </c>
      <c r="AJ51" s="79" t="s">
        <v>38</v>
      </c>
      <c r="AK51" s="79" t="s">
        <v>38</v>
      </c>
      <c r="AL51" s="79" t="s">
        <v>38</v>
      </c>
      <c r="AM51" s="79" t="s">
        <v>38</v>
      </c>
      <c r="AN51" s="79" t="s">
        <v>38</v>
      </c>
      <c r="AO51" s="79" t="s">
        <v>38</v>
      </c>
      <c r="AP51" s="79" t="s">
        <v>38</v>
      </c>
      <c r="AQ51" s="79" t="s">
        <v>38</v>
      </c>
      <c r="AR51" s="79" t="s">
        <v>38</v>
      </c>
      <c r="AS51" s="79" t="s">
        <v>38</v>
      </c>
      <c r="AT51" s="79" t="s">
        <v>38</v>
      </c>
      <c r="AU51" s="79" t="s">
        <v>38</v>
      </c>
      <c r="AV51" s="79" t="s">
        <v>38</v>
      </c>
      <c r="AW51" s="79" t="s">
        <v>38</v>
      </c>
      <c r="AX51" s="79" t="s">
        <v>38</v>
      </c>
      <c r="AY51" s="79" t="s">
        <v>38</v>
      </c>
      <c r="AZ51" s="79" t="s">
        <v>38</v>
      </c>
      <c r="BA51" s="79" t="s">
        <v>38</v>
      </c>
      <c r="BB51" s="79" t="s">
        <v>38</v>
      </c>
      <c r="BC51" s="79" t="s">
        <v>38</v>
      </c>
      <c r="BD51" s="79" t="s">
        <v>38</v>
      </c>
      <c r="BE51" s="79" t="s">
        <v>38</v>
      </c>
      <c r="BF51" s="79" t="s">
        <v>38</v>
      </c>
      <c r="BG51" s="79" t="s">
        <v>38</v>
      </c>
      <c r="BH51" s="79" t="s">
        <v>38</v>
      </c>
      <c r="BI51" s="79" t="s">
        <v>38</v>
      </c>
      <c r="BJ51" s="79" t="s">
        <v>38</v>
      </c>
      <c r="BK51" s="79" t="s">
        <v>38</v>
      </c>
      <c r="BL51" s="79" t="s">
        <v>38</v>
      </c>
      <c r="BM51" s="79" t="s">
        <v>38</v>
      </c>
      <c r="BN51" s="79" t="s">
        <v>38</v>
      </c>
      <c r="BO51" s="79" t="s">
        <v>38</v>
      </c>
      <c r="BP51" s="79" t="s">
        <v>38</v>
      </c>
      <c r="BQ51" s="79" t="s">
        <v>38</v>
      </c>
      <c r="BR51" s="79" t="s">
        <v>38</v>
      </c>
      <c r="BS51" s="79" t="s">
        <v>38</v>
      </c>
      <c r="BT51" s="79" t="s">
        <v>38</v>
      </c>
      <c r="BU51" s="79" t="s">
        <v>38</v>
      </c>
      <c r="BV51" s="79" t="s">
        <v>38</v>
      </c>
      <c r="BW51" s="79" t="s">
        <v>38</v>
      </c>
      <c r="BX51" s="79" t="s">
        <v>38</v>
      </c>
      <c r="BY51" s="78" t="s">
        <v>38</v>
      </c>
      <c r="BZ51" s="79" t="s">
        <v>38</v>
      </c>
      <c r="CA51" s="90" t="s">
        <v>38</v>
      </c>
    </row>
    <row r="52" spans="1:79">
      <c r="A52" s="64">
        <v>43</v>
      </c>
      <c r="B52" s="83">
        <v>254361.50803699999</v>
      </c>
      <c r="C52" s="83">
        <v>4505641.8651099997</v>
      </c>
      <c r="D52" s="78" t="s">
        <v>38</v>
      </c>
      <c r="E52" s="79" t="s">
        <v>38</v>
      </c>
      <c r="F52" s="79" t="s">
        <v>38</v>
      </c>
      <c r="G52" s="79" t="s">
        <v>38</v>
      </c>
      <c r="H52" s="79" t="s">
        <v>38</v>
      </c>
      <c r="I52" s="79" t="s">
        <v>38</v>
      </c>
      <c r="J52" s="79" t="s">
        <v>38</v>
      </c>
      <c r="K52" s="79" t="s">
        <v>38</v>
      </c>
      <c r="L52" s="79" t="s">
        <v>38</v>
      </c>
      <c r="M52" s="79" t="s">
        <v>38</v>
      </c>
      <c r="N52" s="79" t="s">
        <v>38</v>
      </c>
      <c r="O52" s="79" t="s">
        <v>38</v>
      </c>
      <c r="P52" s="79" t="s">
        <v>38</v>
      </c>
      <c r="Q52" s="79" t="s">
        <v>38</v>
      </c>
      <c r="R52" s="79" t="s">
        <v>38</v>
      </c>
      <c r="S52" s="79" t="s">
        <v>38</v>
      </c>
      <c r="T52" s="79" t="s">
        <v>38</v>
      </c>
      <c r="U52" s="79" t="s">
        <v>38</v>
      </c>
      <c r="V52" s="79" t="s">
        <v>38</v>
      </c>
      <c r="W52" s="79" t="s">
        <v>38</v>
      </c>
      <c r="X52" s="79" t="s">
        <v>38</v>
      </c>
      <c r="Y52" s="79" t="s">
        <v>38</v>
      </c>
      <c r="Z52" s="79" t="s">
        <v>38</v>
      </c>
      <c r="AA52" s="79" t="s">
        <v>38</v>
      </c>
      <c r="AB52" s="79" t="s">
        <v>38</v>
      </c>
      <c r="AC52" s="79" t="s">
        <v>38</v>
      </c>
      <c r="AD52" s="79" t="s">
        <v>38</v>
      </c>
      <c r="AE52" s="79" t="s">
        <v>38</v>
      </c>
      <c r="AF52" s="79" t="s">
        <v>38</v>
      </c>
      <c r="AG52" s="79" t="s">
        <v>38</v>
      </c>
      <c r="AH52" s="79" t="s">
        <v>38</v>
      </c>
      <c r="AI52" s="79" t="s">
        <v>38</v>
      </c>
      <c r="AJ52" s="79" t="s">
        <v>38</v>
      </c>
      <c r="AK52" s="79" t="s">
        <v>38</v>
      </c>
      <c r="AL52" s="79" t="s">
        <v>38</v>
      </c>
      <c r="AM52" s="79" t="s">
        <v>38</v>
      </c>
      <c r="AN52" s="79" t="s">
        <v>38</v>
      </c>
      <c r="AO52" s="79" t="s">
        <v>38</v>
      </c>
      <c r="AP52" s="79" t="s">
        <v>38</v>
      </c>
      <c r="AQ52" s="79" t="s">
        <v>38</v>
      </c>
      <c r="AR52" s="79" t="s">
        <v>38</v>
      </c>
      <c r="AS52" s="79" t="s">
        <v>38</v>
      </c>
      <c r="AT52" s="79" t="s">
        <v>38</v>
      </c>
      <c r="AU52" s="79" t="s">
        <v>38</v>
      </c>
      <c r="AV52" s="79" t="s">
        <v>38</v>
      </c>
      <c r="AW52" s="79" t="s">
        <v>38</v>
      </c>
      <c r="AX52" s="79" t="s">
        <v>38</v>
      </c>
      <c r="AY52" s="79" t="s">
        <v>38</v>
      </c>
      <c r="AZ52" s="79" t="s">
        <v>38</v>
      </c>
      <c r="BA52" s="79" t="s">
        <v>38</v>
      </c>
      <c r="BB52" s="79" t="s">
        <v>38</v>
      </c>
      <c r="BC52" s="79" t="s">
        <v>38</v>
      </c>
      <c r="BD52" s="79" t="s">
        <v>38</v>
      </c>
      <c r="BE52" s="79" t="s">
        <v>38</v>
      </c>
      <c r="BF52" s="79" t="s">
        <v>38</v>
      </c>
      <c r="BG52" s="79" t="s">
        <v>38</v>
      </c>
      <c r="BH52" s="79" t="s">
        <v>38</v>
      </c>
      <c r="BI52" s="79" t="s">
        <v>38</v>
      </c>
      <c r="BJ52" s="79" t="s">
        <v>38</v>
      </c>
      <c r="BK52" s="79" t="s">
        <v>38</v>
      </c>
      <c r="BL52" s="79" t="s">
        <v>38</v>
      </c>
      <c r="BM52" s="79" t="s">
        <v>38</v>
      </c>
      <c r="BN52" s="79" t="s">
        <v>38</v>
      </c>
      <c r="BO52" s="79" t="s">
        <v>38</v>
      </c>
      <c r="BP52" s="79" t="s">
        <v>38</v>
      </c>
      <c r="BQ52" s="79" t="s">
        <v>38</v>
      </c>
      <c r="BR52" s="79" t="s">
        <v>38</v>
      </c>
      <c r="BS52" s="79" t="s">
        <v>38</v>
      </c>
      <c r="BT52" s="79" t="s">
        <v>38</v>
      </c>
      <c r="BU52" s="79" t="s">
        <v>38</v>
      </c>
      <c r="BV52" s="79" t="s">
        <v>38</v>
      </c>
      <c r="BW52" s="79" t="s">
        <v>38</v>
      </c>
      <c r="BX52" s="79" t="s">
        <v>38</v>
      </c>
      <c r="BY52" s="78" t="s">
        <v>38</v>
      </c>
      <c r="BZ52" s="79" t="s">
        <v>38</v>
      </c>
      <c r="CA52" s="90" t="s">
        <v>38</v>
      </c>
    </row>
    <row r="53" spans="1:79">
      <c r="A53" s="64">
        <v>44</v>
      </c>
      <c r="B53" s="82">
        <v>254358.81478300001</v>
      </c>
      <c r="C53" s="82">
        <v>4505658.5760300001</v>
      </c>
      <c r="D53" s="78" t="s">
        <v>38</v>
      </c>
      <c r="E53" s="79" t="s">
        <v>38</v>
      </c>
      <c r="F53" s="79" t="s">
        <v>38</v>
      </c>
      <c r="G53" s="79" t="s">
        <v>38</v>
      </c>
      <c r="H53" s="79" t="s">
        <v>38</v>
      </c>
      <c r="I53" s="79" t="s">
        <v>38</v>
      </c>
      <c r="J53" s="79" t="s">
        <v>38</v>
      </c>
      <c r="K53" s="79" t="s">
        <v>38</v>
      </c>
      <c r="L53" s="79" t="s">
        <v>38</v>
      </c>
      <c r="M53" s="79" t="s">
        <v>38</v>
      </c>
      <c r="N53" s="79" t="s">
        <v>38</v>
      </c>
      <c r="O53" s="79" t="s">
        <v>38</v>
      </c>
      <c r="P53" s="79" t="s">
        <v>38</v>
      </c>
      <c r="Q53" s="79" t="s">
        <v>38</v>
      </c>
      <c r="R53" s="79" t="s">
        <v>38</v>
      </c>
      <c r="S53" s="79" t="s">
        <v>38</v>
      </c>
      <c r="T53" s="79" t="s">
        <v>38</v>
      </c>
      <c r="U53" s="79" t="s">
        <v>38</v>
      </c>
      <c r="V53" s="79" t="s">
        <v>38</v>
      </c>
      <c r="W53" s="79" t="s">
        <v>38</v>
      </c>
      <c r="X53" s="79" t="s">
        <v>38</v>
      </c>
      <c r="Y53" s="79" t="s">
        <v>38</v>
      </c>
      <c r="Z53" s="79" t="s">
        <v>38</v>
      </c>
      <c r="AA53" s="79" t="s">
        <v>38</v>
      </c>
      <c r="AB53" s="79" t="s">
        <v>38</v>
      </c>
      <c r="AC53" s="79" t="s">
        <v>38</v>
      </c>
      <c r="AD53" s="79" t="s">
        <v>38</v>
      </c>
      <c r="AE53" s="79" t="s">
        <v>38</v>
      </c>
      <c r="AF53" s="79" t="s">
        <v>38</v>
      </c>
      <c r="AG53" s="79" t="s">
        <v>38</v>
      </c>
      <c r="AH53" s="79" t="s">
        <v>38</v>
      </c>
      <c r="AI53" s="79" t="s">
        <v>38</v>
      </c>
      <c r="AJ53" s="79" t="s">
        <v>38</v>
      </c>
      <c r="AK53" s="79" t="s">
        <v>38</v>
      </c>
      <c r="AL53" s="79" t="s">
        <v>38</v>
      </c>
      <c r="AM53" s="79" t="s">
        <v>38</v>
      </c>
      <c r="AN53" s="79" t="s">
        <v>38</v>
      </c>
      <c r="AO53" s="79" t="s">
        <v>38</v>
      </c>
      <c r="AP53" s="79" t="s">
        <v>38</v>
      </c>
      <c r="AQ53" s="79" t="s">
        <v>38</v>
      </c>
      <c r="AR53" s="79" t="s">
        <v>38</v>
      </c>
      <c r="AS53" s="79" t="s">
        <v>38</v>
      </c>
      <c r="AT53" s="79" t="s">
        <v>38</v>
      </c>
      <c r="AU53" s="79" t="s">
        <v>38</v>
      </c>
      <c r="AV53" s="79" t="s">
        <v>38</v>
      </c>
      <c r="AW53" s="79" t="s">
        <v>38</v>
      </c>
      <c r="AX53" s="79" t="s">
        <v>38</v>
      </c>
      <c r="AY53" s="79" t="s">
        <v>38</v>
      </c>
      <c r="AZ53" s="79" t="s">
        <v>38</v>
      </c>
      <c r="BA53" s="79" t="s">
        <v>38</v>
      </c>
      <c r="BB53" s="79" t="s">
        <v>38</v>
      </c>
      <c r="BC53" s="79" t="s">
        <v>38</v>
      </c>
      <c r="BD53" s="79" t="s">
        <v>38</v>
      </c>
      <c r="BE53" s="79" t="s">
        <v>38</v>
      </c>
      <c r="BF53" s="79" t="s">
        <v>38</v>
      </c>
      <c r="BG53" s="79" t="s">
        <v>38</v>
      </c>
      <c r="BH53" s="79" t="s">
        <v>38</v>
      </c>
      <c r="BI53" s="79" t="s">
        <v>38</v>
      </c>
      <c r="BJ53" s="79" t="s">
        <v>38</v>
      </c>
      <c r="BK53" s="79" t="s">
        <v>38</v>
      </c>
      <c r="BL53" s="79" t="s">
        <v>38</v>
      </c>
      <c r="BM53" s="79" t="s">
        <v>38</v>
      </c>
      <c r="BN53" s="79" t="s">
        <v>38</v>
      </c>
      <c r="BO53" s="79" t="s">
        <v>38</v>
      </c>
      <c r="BP53" s="79" t="s">
        <v>38</v>
      </c>
      <c r="BQ53" s="79" t="s">
        <v>38</v>
      </c>
      <c r="BR53" s="79" t="s">
        <v>38</v>
      </c>
      <c r="BS53" s="79" t="s">
        <v>38</v>
      </c>
      <c r="BT53" s="79" t="s">
        <v>38</v>
      </c>
      <c r="BU53" s="79" t="s">
        <v>38</v>
      </c>
      <c r="BV53" s="79" t="s">
        <v>38</v>
      </c>
      <c r="BW53" s="79" t="s">
        <v>38</v>
      </c>
      <c r="BX53" s="79" t="s">
        <v>38</v>
      </c>
      <c r="BY53" s="85">
        <f>(0.32+0.322)/2</f>
        <v>0.32100000000000001</v>
      </c>
      <c r="BZ53" s="85">
        <f>(0.435+0.456)/2</f>
        <v>0.44550000000000001</v>
      </c>
      <c r="CA53" s="90">
        <v>0.35599999999999998</v>
      </c>
    </row>
    <row r="54" spans="1:79">
      <c r="A54" s="64">
        <v>45</v>
      </c>
      <c r="B54" s="82">
        <v>254403.621078</v>
      </c>
      <c r="C54" s="82">
        <v>4505611.4397299998</v>
      </c>
      <c r="D54" s="78" t="s">
        <v>38</v>
      </c>
      <c r="E54" s="79" t="s">
        <v>38</v>
      </c>
      <c r="F54" s="79" t="s">
        <v>38</v>
      </c>
      <c r="G54" s="79" t="s">
        <v>38</v>
      </c>
      <c r="H54" s="79" t="s">
        <v>38</v>
      </c>
      <c r="I54" s="79" t="s">
        <v>38</v>
      </c>
      <c r="J54" s="79" t="s">
        <v>38</v>
      </c>
      <c r="K54" s="79" t="s">
        <v>38</v>
      </c>
      <c r="L54" s="79" t="s">
        <v>38</v>
      </c>
      <c r="M54" s="78">
        <v>0.17649999999999999</v>
      </c>
      <c r="N54" s="79" t="s">
        <v>38</v>
      </c>
      <c r="O54" s="79" t="s">
        <v>38</v>
      </c>
      <c r="P54" s="79" t="s">
        <v>38</v>
      </c>
      <c r="Q54" s="79" t="s">
        <v>38</v>
      </c>
      <c r="R54" s="79" t="s">
        <v>38</v>
      </c>
      <c r="S54" s="79" t="s">
        <v>38</v>
      </c>
      <c r="T54" s="79" t="s">
        <v>38</v>
      </c>
      <c r="U54" s="79" t="s">
        <v>38</v>
      </c>
      <c r="V54" s="79" t="s">
        <v>38</v>
      </c>
      <c r="W54" s="79" t="s">
        <v>38</v>
      </c>
      <c r="X54" s="79" t="s">
        <v>38</v>
      </c>
      <c r="Y54" s="79" t="s">
        <v>38</v>
      </c>
      <c r="Z54" s="79" t="s">
        <v>38</v>
      </c>
      <c r="AA54" s="79" t="s">
        <v>38</v>
      </c>
      <c r="AB54" s="79" t="s">
        <v>38</v>
      </c>
      <c r="AC54" s="79" t="s">
        <v>38</v>
      </c>
      <c r="AD54" s="79" t="s">
        <v>38</v>
      </c>
      <c r="AE54" s="79" t="s">
        <v>38</v>
      </c>
      <c r="AF54" s="79" t="s">
        <v>38</v>
      </c>
      <c r="AG54" s="79" t="s">
        <v>38</v>
      </c>
      <c r="AH54" s="79" t="s">
        <v>38</v>
      </c>
      <c r="AI54" s="79" t="s">
        <v>38</v>
      </c>
      <c r="AJ54" s="79" t="s">
        <v>38</v>
      </c>
      <c r="AK54" s="79" t="s">
        <v>38</v>
      </c>
      <c r="AL54" s="79" t="s">
        <v>38</v>
      </c>
      <c r="AM54" s="79" t="s">
        <v>38</v>
      </c>
      <c r="AN54" s="79" t="s">
        <v>38</v>
      </c>
      <c r="AO54" s="79" t="s">
        <v>38</v>
      </c>
      <c r="AP54" s="79" t="s">
        <v>38</v>
      </c>
      <c r="AQ54" s="79" t="s">
        <v>38</v>
      </c>
      <c r="AR54" s="79" t="s">
        <v>38</v>
      </c>
      <c r="AS54" s="79" t="s">
        <v>38</v>
      </c>
      <c r="AT54" s="79" t="s">
        <v>38</v>
      </c>
      <c r="AU54" s="79" t="s">
        <v>38</v>
      </c>
      <c r="AV54" s="79" t="s">
        <v>38</v>
      </c>
      <c r="AW54" s="79" t="s">
        <v>38</v>
      </c>
      <c r="AX54" s="79" t="s">
        <v>38</v>
      </c>
      <c r="AY54" s="79" t="s">
        <v>38</v>
      </c>
      <c r="AZ54" s="79" t="s">
        <v>38</v>
      </c>
      <c r="BA54" s="79" t="s">
        <v>38</v>
      </c>
      <c r="BB54" s="79" t="s">
        <v>38</v>
      </c>
      <c r="BC54" s="79" t="s">
        <v>38</v>
      </c>
      <c r="BD54" s="79" t="s">
        <v>38</v>
      </c>
      <c r="BE54" s="79" t="s">
        <v>38</v>
      </c>
      <c r="BF54" s="79" t="s">
        <v>38</v>
      </c>
      <c r="BG54" s="79" t="s">
        <v>38</v>
      </c>
      <c r="BH54" s="79" t="s">
        <v>38</v>
      </c>
      <c r="BI54" s="79" t="s">
        <v>38</v>
      </c>
      <c r="BJ54" s="79" t="s">
        <v>38</v>
      </c>
      <c r="BK54" s="79" t="s">
        <v>38</v>
      </c>
      <c r="BL54" s="79" t="s">
        <v>38</v>
      </c>
      <c r="BM54" s="79" t="s">
        <v>38</v>
      </c>
      <c r="BN54" s="79" t="s">
        <v>38</v>
      </c>
      <c r="BO54" s="79" t="s">
        <v>38</v>
      </c>
      <c r="BP54" s="79" t="s">
        <v>38</v>
      </c>
      <c r="BQ54" s="79" t="s">
        <v>38</v>
      </c>
      <c r="BR54" s="79" t="s">
        <v>38</v>
      </c>
      <c r="BS54" s="79" t="s">
        <v>38</v>
      </c>
      <c r="BT54" s="79" t="s">
        <v>38</v>
      </c>
      <c r="BU54" s="79" t="s">
        <v>38</v>
      </c>
      <c r="BV54" s="79" t="s">
        <v>38</v>
      </c>
      <c r="BW54" s="79" t="s">
        <v>38</v>
      </c>
      <c r="BX54" s="79" t="s">
        <v>38</v>
      </c>
      <c r="BY54" s="85">
        <f>(0.263+0.27)/2</f>
        <v>0.26650000000000001</v>
      </c>
      <c r="BZ54" s="85">
        <f>(0.407+0.427)/2</f>
        <v>0.41699999999999998</v>
      </c>
      <c r="CA54" s="90">
        <v>0.308</v>
      </c>
    </row>
    <row r="55" spans="1:79">
      <c r="A55" s="64">
        <v>46</v>
      </c>
      <c r="B55" s="82">
        <v>254407.499473</v>
      </c>
      <c r="C55" s="82">
        <v>4505609.5358499996</v>
      </c>
      <c r="D55" s="78" t="s">
        <v>38</v>
      </c>
      <c r="E55" s="79" t="s">
        <v>38</v>
      </c>
      <c r="F55" s="79" t="s">
        <v>38</v>
      </c>
      <c r="G55" s="79" t="s">
        <v>38</v>
      </c>
      <c r="H55" s="79" t="s">
        <v>38</v>
      </c>
      <c r="I55" s="79" t="s">
        <v>38</v>
      </c>
      <c r="J55" s="79" t="s">
        <v>38</v>
      </c>
      <c r="K55" s="79" t="s">
        <v>38</v>
      </c>
      <c r="L55" s="79" t="s">
        <v>38</v>
      </c>
      <c r="M55" s="78">
        <v>0.15050000000000002</v>
      </c>
      <c r="N55" s="79" t="s">
        <v>38</v>
      </c>
      <c r="O55" s="79" t="s">
        <v>38</v>
      </c>
      <c r="P55" s="79" t="s">
        <v>38</v>
      </c>
      <c r="Q55" s="79" t="s">
        <v>38</v>
      </c>
      <c r="R55" s="79" t="s">
        <v>38</v>
      </c>
      <c r="S55" s="79" t="s">
        <v>38</v>
      </c>
      <c r="T55" s="79" t="s">
        <v>38</v>
      </c>
      <c r="U55" s="79" t="s">
        <v>38</v>
      </c>
      <c r="V55" s="79" t="s">
        <v>38</v>
      </c>
      <c r="W55" s="79" t="s">
        <v>38</v>
      </c>
      <c r="X55" s="79" t="s">
        <v>38</v>
      </c>
      <c r="Y55" s="79" t="s">
        <v>38</v>
      </c>
      <c r="Z55" s="79" t="s">
        <v>38</v>
      </c>
      <c r="AA55" s="79" t="s">
        <v>38</v>
      </c>
      <c r="AB55" s="79" t="s">
        <v>38</v>
      </c>
      <c r="AC55" s="79" t="s">
        <v>38</v>
      </c>
      <c r="AD55" s="79" t="s">
        <v>38</v>
      </c>
      <c r="AE55" s="79" t="s">
        <v>38</v>
      </c>
      <c r="AF55" s="79" t="s">
        <v>38</v>
      </c>
      <c r="AG55" s="79" t="s">
        <v>38</v>
      </c>
      <c r="AH55" s="79" t="s">
        <v>38</v>
      </c>
      <c r="AI55" s="79" t="s">
        <v>38</v>
      </c>
      <c r="AJ55" s="79" t="s">
        <v>38</v>
      </c>
      <c r="AK55" s="79" t="s">
        <v>38</v>
      </c>
      <c r="AL55" s="79" t="s">
        <v>38</v>
      </c>
      <c r="AM55" s="79" t="s">
        <v>38</v>
      </c>
      <c r="AN55" s="79" t="s">
        <v>38</v>
      </c>
      <c r="AO55" s="79" t="s">
        <v>38</v>
      </c>
      <c r="AP55" s="79" t="s">
        <v>38</v>
      </c>
      <c r="AQ55" s="79" t="s">
        <v>38</v>
      </c>
      <c r="AR55" s="79" t="s">
        <v>38</v>
      </c>
      <c r="AS55" s="79" t="s">
        <v>38</v>
      </c>
      <c r="AT55" s="79" t="s">
        <v>38</v>
      </c>
      <c r="AU55" s="79" t="s">
        <v>38</v>
      </c>
      <c r="AV55" s="79" t="s">
        <v>38</v>
      </c>
      <c r="AW55" s="79" t="s">
        <v>38</v>
      </c>
      <c r="AX55" s="79" t="s">
        <v>38</v>
      </c>
      <c r="AY55" s="79" t="s">
        <v>38</v>
      </c>
      <c r="AZ55" s="79" t="s">
        <v>38</v>
      </c>
      <c r="BA55" s="79" t="s">
        <v>38</v>
      </c>
      <c r="BB55" s="79" t="s">
        <v>38</v>
      </c>
      <c r="BC55" s="79" t="s">
        <v>38</v>
      </c>
      <c r="BD55" s="79" t="s">
        <v>38</v>
      </c>
      <c r="BE55" s="79" t="s">
        <v>38</v>
      </c>
      <c r="BF55" s="79" t="s">
        <v>38</v>
      </c>
      <c r="BG55" s="79" t="s">
        <v>38</v>
      </c>
      <c r="BH55" s="79" t="s">
        <v>38</v>
      </c>
      <c r="BI55" s="79" t="s">
        <v>38</v>
      </c>
      <c r="BJ55" s="79" t="s">
        <v>38</v>
      </c>
      <c r="BK55" s="79" t="s">
        <v>38</v>
      </c>
      <c r="BL55" s="79" t="s">
        <v>38</v>
      </c>
      <c r="BM55" s="79" t="s">
        <v>38</v>
      </c>
      <c r="BN55" s="79" t="s">
        <v>38</v>
      </c>
      <c r="BO55" s="79" t="s">
        <v>38</v>
      </c>
      <c r="BP55" s="79" t="s">
        <v>38</v>
      </c>
      <c r="BQ55" s="79" t="s">
        <v>38</v>
      </c>
      <c r="BR55" s="79" t="s">
        <v>38</v>
      </c>
      <c r="BS55" s="79" t="s">
        <v>38</v>
      </c>
      <c r="BT55" s="79" t="s">
        <v>38</v>
      </c>
      <c r="BU55" s="79" t="s">
        <v>38</v>
      </c>
      <c r="BV55" s="79" t="s">
        <v>38</v>
      </c>
      <c r="BW55" s="79" t="s">
        <v>38</v>
      </c>
      <c r="BX55" s="79" t="s">
        <v>38</v>
      </c>
      <c r="BY55" s="78" t="s">
        <v>38</v>
      </c>
      <c r="BZ55" s="85" t="s">
        <v>38</v>
      </c>
      <c r="CA55" s="90" t="s">
        <v>38</v>
      </c>
    </row>
    <row r="56" spans="1:79">
      <c r="A56" s="64">
        <v>47</v>
      </c>
      <c r="B56" s="82">
        <v>254415.342535</v>
      </c>
      <c r="C56" s="82">
        <v>4505592.7560700001</v>
      </c>
      <c r="D56" s="78" t="s">
        <v>38</v>
      </c>
      <c r="E56" s="79" t="s">
        <v>38</v>
      </c>
      <c r="F56" s="79" t="s">
        <v>38</v>
      </c>
      <c r="G56" s="79" t="s">
        <v>38</v>
      </c>
      <c r="H56" s="79" t="s">
        <v>38</v>
      </c>
      <c r="I56" s="79" t="s">
        <v>38</v>
      </c>
      <c r="J56" s="79" t="s">
        <v>38</v>
      </c>
      <c r="K56" s="79" t="s">
        <v>38</v>
      </c>
      <c r="L56" s="79" t="s">
        <v>38</v>
      </c>
      <c r="M56" s="78">
        <v>0.111</v>
      </c>
      <c r="N56" s="79" t="s">
        <v>38</v>
      </c>
      <c r="O56" s="79" t="s">
        <v>38</v>
      </c>
      <c r="P56" s="79" t="s">
        <v>38</v>
      </c>
      <c r="Q56" s="79" t="s">
        <v>38</v>
      </c>
      <c r="R56" s="79" t="s">
        <v>38</v>
      </c>
      <c r="S56" s="79" t="s">
        <v>38</v>
      </c>
      <c r="T56" s="79" t="s">
        <v>38</v>
      </c>
      <c r="U56" s="79" t="s">
        <v>38</v>
      </c>
      <c r="V56" s="79" t="s">
        <v>38</v>
      </c>
      <c r="W56" s="79" t="s">
        <v>38</v>
      </c>
      <c r="X56" s="79" t="s">
        <v>38</v>
      </c>
      <c r="Y56" s="79" t="s">
        <v>38</v>
      </c>
      <c r="Z56" s="79" t="s">
        <v>38</v>
      </c>
      <c r="AA56" s="79" t="s">
        <v>38</v>
      </c>
      <c r="AB56" s="79" t="s">
        <v>38</v>
      </c>
      <c r="AC56" s="79" t="s">
        <v>38</v>
      </c>
      <c r="AD56" s="79" t="s">
        <v>38</v>
      </c>
      <c r="AE56" s="79" t="s">
        <v>38</v>
      </c>
      <c r="AF56" s="79" t="s">
        <v>38</v>
      </c>
      <c r="AG56" s="79" t="s">
        <v>38</v>
      </c>
      <c r="AH56" s="79" t="s">
        <v>38</v>
      </c>
      <c r="AI56" s="79" t="s">
        <v>38</v>
      </c>
      <c r="AJ56" s="79" t="s">
        <v>38</v>
      </c>
      <c r="AK56" s="79" t="s">
        <v>38</v>
      </c>
      <c r="AL56" s="79" t="s">
        <v>38</v>
      </c>
      <c r="AM56" s="79" t="s">
        <v>38</v>
      </c>
      <c r="AN56" s="79" t="s">
        <v>38</v>
      </c>
      <c r="AO56" s="79" t="s">
        <v>38</v>
      </c>
      <c r="AP56" s="79" t="s">
        <v>38</v>
      </c>
      <c r="AQ56" s="79" t="s">
        <v>38</v>
      </c>
      <c r="AR56" s="79" t="s">
        <v>38</v>
      </c>
      <c r="AS56" s="79" t="s">
        <v>38</v>
      </c>
      <c r="AT56" s="79" t="s">
        <v>38</v>
      </c>
      <c r="AU56" s="79" t="s">
        <v>38</v>
      </c>
      <c r="AV56" s="79" t="s">
        <v>38</v>
      </c>
      <c r="AW56" s="79" t="s">
        <v>38</v>
      </c>
      <c r="AX56" s="79" t="s">
        <v>38</v>
      </c>
      <c r="AY56" s="79" t="s">
        <v>38</v>
      </c>
      <c r="AZ56" s="79" t="s">
        <v>38</v>
      </c>
      <c r="BA56" s="79" t="s">
        <v>38</v>
      </c>
      <c r="BB56" s="79" t="s">
        <v>38</v>
      </c>
      <c r="BC56" s="79" t="s">
        <v>38</v>
      </c>
      <c r="BD56" s="79" t="s">
        <v>38</v>
      </c>
      <c r="BE56" s="79" t="s">
        <v>38</v>
      </c>
      <c r="BF56" s="79" t="s">
        <v>38</v>
      </c>
      <c r="BG56" s="79" t="s">
        <v>38</v>
      </c>
      <c r="BH56" s="79" t="s">
        <v>38</v>
      </c>
      <c r="BI56" s="79" t="s">
        <v>38</v>
      </c>
      <c r="BJ56" s="79" t="s">
        <v>38</v>
      </c>
      <c r="BK56" s="79" t="s">
        <v>38</v>
      </c>
      <c r="BL56" s="79" t="s">
        <v>38</v>
      </c>
      <c r="BM56" s="79" t="s">
        <v>38</v>
      </c>
      <c r="BN56" s="79" t="s">
        <v>38</v>
      </c>
      <c r="BO56" s="79" t="s">
        <v>38</v>
      </c>
      <c r="BP56" s="79" t="s">
        <v>38</v>
      </c>
      <c r="BQ56" s="79" t="s">
        <v>38</v>
      </c>
      <c r="BR56" s="79" t="s">
        <v>38</v>
      </c>
      <c r="BS56" s="79" t="s">
        <v>38</v>
      </c>
      <c r="BT56" s="79" t="s">
        <v>38</v>
      </c>
      <c r="BU56" s="79" t="s">
        <v>38</v>
      </c>
      <c r="BV56" s="79" t="s">
        <v>38</v>
      </c>
      <c r="BW56" s="79" t="s">
        <v>38</v>
      </c>
      <c r="BX56" s="79" t="s">
        <v>38</v>
      </c>
      <c r="BY56" s="78" t="s">
        <v>38</v>
      </c>
      <c r="BZ56" s="85" t="s">
        <v>38</v>
      </c>
      <c r="CA56" s="90" t="s">
        <v>38</v>
      </c>
    </row>
    <row r="57" spans="1:79">
      <c r="A57" s="64">
        <v>48</v>
      </c>
      <c r="B57" s="82">
        <v>254410.90681099999</v>
      </c>
      <c r="C57" s="82">
        <v>4505631.4095900003</v>
      </c>
      <c r="D57" s="78" t="s">
        <v>38</v>
      </c>
      <c r="E57" s="79" t="s">
        <v>38</v>
      </c>
      <c r="F57" s="79" t="s">
        <v>38</v>
      </c>
      <c r="G57" s="79" t="s">
        <v>38</v>
      </c>
      <c r="H57" s="79" t="s">
        <v>38</v>
      </c>
      <c r="I57" s="79" t="s">
        <v>38</v>
      </c>
      <c r="J57" s="79" t="s">
        <v>38</v>
      </c>
      <c r="K57" s="79" t="s">
        <v>38</v>
      </c>
      <c r="L57" s="79" t="s">
        <v>38</v>
      </c>
      <c r="M57" s="79" t="s">
        <v>38</v>
      </c>
      <c r="N57" s="79" t="s">
        <v>38</v>
      </c>
      <c r="O57" s="79" t="s">
        <v>38</v>
      </c>
      <c r="P57" s="79" t="s">
        <v>38</v>
      </c>
      <c r="Q57" s="79" t="s">
        <v>38</v>
      </c>
      <c r="R57" s="79" t="s">
        <v>38</v>
      </c>
      <c r="S57" s="79" t="s">
        <v>38</v>
      </c>
      <c r="T57" s="79" t="s">
        <v>38</v>
      </c>
      <c r="U57" s="79" t="s">
        <v>38</v>
      </c>
      <c r="V57" s="79" t="s">
        <v>38</v>
      </c>
      <c r="W57" s="79" t="s">
        <v>38</v>
      </c>
      <c r="X57" s="79" t="s">
        <v>38</v>
      </c>
      <c r="Y57" s="79" t="s">
        <v>38</v>
      </c>
      <c r="Z57" s="79" t="s">
        <v>38</v>
      </c>
      <c r="AA57" s="79" t="s">
        <v>38</v>
      </c>
      <c r="AB57" s="79" t="s">
        <v>38</v>
      </c>
      <c r="AC57" s="79" t="s">
        <v>38</v>
      </c>
      <c r="AD57" s="79" t="s">
        <v>38</v>
      </c>
      <c r="AE57" s="79" t="s">
        <v>38</v>
      </c>
      <c r="AF57" s="79" t="s">
        <v>38</v>
      </c>
      <c r="AG57" s="79" t="s">
        <v>38</v>
      </c>
      <c r="AH57" s="79" t="s">
        <v>38</v>
      </c>
      <c r="AI57" s="79" t="s">
        <v>38</v>
      </c>
      <c r="AJ57" s="79" t="s">
        <v>38</v>
      </c>
      <c r="AK57" s="79" t="s">
        <v>38</v>
      </c>
      <c r="AL57" s="79" t="s">
        <v>38</v>
      </c>
      <c r="AM57" s="79" t="s">
        <v>38</v>
      </c>
      <c r="AN57" s="79" t="s">
        <v>38</v>
      </c>
      <c r="AO57" s="79" t="s">
        <v>38</v>
      </c>
      <c r="AP57" s="79" t="s">
        <v>38</v>
      </c>
      <c r="AQ57" s="79" t="s">
        <v>38</v>
      </c>
      <c r="AR57" s="79" t="s">
        <v>38</v>
      </c>
      <c r="AS57" s="79" t="s">
        <v>38</v>
      </c>
      <c r="AT57" s="79" t="s">
        <v>38</v>
      </c>
      <c r="AU57" s="79" t="s">
        <v>38</v>
      </c>
      <c r="AV57" s="79" t="s">
        <v>38</v>
      </c>
      <c r="AW57" s="79" t="s">
        <v>38</v>
      </c>
      <c r="AX57" s="79" t="s">
        <v>38</v>
      </c>
      <c r="AY57" s="79" t="s">
        <v>38</v>
      </c>
      <c r="AZ57" s="79" t="s">
        <v>38</v>
      </c>
      <c r="BA57" s="79" t="s">
        <v>38</v>
      </c>
      <c r="BB57" s="79" t="s">
        <v>38</v>
      </c>
      <c r="BC57" s="79" t="s">
        <v>38</v>
      </c>
      <c r="BD57" s="79" t="s">
        <v>38</v>
      </c>
      <c r="BE57" s="79" t="s">
        <v>38</v>
      </c>
      <c r="BF57" s="79" t="s">
        <v>38</v>
      </c>
      <c r="BG57" s="79" t="s">
        <v>38</v>
      </c>
      <c r="BH57" s="79" t="s">
        <v>38</v>
      </c>
      <c r="BI57" s="79" t="s">
        <v>38</v>
      </c>
      <c r="BJ57" s="79" t="s">
        <v>38</v>
      </c>
      <c r="BK57" s="79" t="s">
        <v>38</v>
      </c>
      <c r="BL57" s="79" t="s">
        <v>38</v>
      </c>
      <c r="BM57" s="79" t="s">
        <v>38</v>
      </c>
      <c r="BN57" s="79" t="s">
        <v>38</v>
      </c>
      <c r="BO57" s="79" t="s">
        <v>38</v>
      </c>
      <c r="BP57" s="79" t="s">
        <v>38</v>
      </c>
      <c r="BQ57" s="79" t="s">
        <v>38</v>
      </c>
      <c r="BR57" s="79" t="s">
        <v>38</v>
      </c>
      <c r="BS57" s="79" t="s">
        <v>38</v>
      </c>
      <c r="BT57" s="79" t="s">
        <v>38</v>
      </c>
      <c r="BU57" s="79" t="s">
        <v>38</v>
      </c>
      <c r="BV57" s="79" t="s">
        <v>38</v>
      </c>
      <c r="BW57" s="79" t="s">
        <v>38</v>
      </c>
      <c r="BX57" s="79" t="s">
        <v>38</v>
      </c>
      <c r="BY57" s="78" t="s">
        <v>38</v>
      </c>
      <c r="BZ57" s="79" t="s">
        <v>38</v>
      </c>
      <c r="CA57" s="90" t="s">
        <v>38</v>
      </c>
    </row>
    <row r="58" spans="1:79">
      <c r="A58" s="64">
        <v>49</v>
      </c>
      <c r="B58" s="83">
        <v>254409.04055599999</v>
      </c>
      <c r="C58" s="83">
        <v>4505680.3762499997</v>
      </c>
      <c r="D58" s="78" t="s">
        <v>38</v>
      </c>
      <c r="E58" s="79" t="s">
        <v>38</v>
      </c>
      <c r="F58" s="79" t="s">
        <v>38</v>
      </c>
      <c r="G58" s="79" t="s">
        <v>38</v>
      </c>
      <c r="H58" s="79" t="s">
        <v>38</v>
      </c>
      <c r="I58" s="79" t="s">
        <v>38</v>
      </c>
      <c r="J58" s="79" t="s">
        <v>38</v>
      </c>
      <c r="K58" s="79" t="s">
        <v>38</v>
      </c>
      <c r="L58" s="79" t="s">
        <v>38</v>
      </c>
      <c r="M58" s="79" t="s">
        <v>38</v>
      </c>
      <c r="N58" s="79" t="s">
        <v>38</v>
      </c>
      <c r="O58" s="79" t="s">
        <v>38</v>
      </c>
      <c r="P58" s="79" t="s">
        <v>38</v>
      </c>
      <c r="Q58" s="79" t="s">
        <v>38</v>
      </c>
      <c r="R58" s="79" t="s">
        <v>38</v>
      </c>
      <c r="S58" s="79" t="s">
        <v>38</v>
      </c>
      <c r="T58" s="79" t="s">
        <v>38</v>
      </c>
      <c r="U58" s="79" t="s">
        <v>38</v>
      </c>
      <c r="V58" s="79" t="s">
        <v>38</v>
      </c>
      <c r="W58" s="79" t="s">
        <v>38</v>
      </c>
      <c r="X58" s="79" t="s">
        <v>38</v>
      </c>
      <c r="Y58" s="79" t="s">
        <v>38</v>
      </c>
      <c r="Z58" s="79" t="s">
        <v>38</v>
      </c>
      <c r="AA58" s="79" t="s">
        <v>38</v>
      </c>
      <c r="AB58" s="79" t="s">
        <v>38</v>
      </c>
      <c r="AC58" s="79" t="s">
        <v>38</v>
      </c>
      <c r="AD58" s="79" t="s">
        <v>38</v>
      </c>
      <c r="AE58" s="79" t="s">
        <v>38</v>
      </c>
      <c r="AF58" s="79" t="s">
        <v>38</v>
      </c>
      <c r="AG58" s="79" t="s">
        <v>38</v>
      </c>
      <c r="AH58" s="79" t="s">
        <v>38</v>
      </c>
      <c r="AI58" s="79" t="s">
        <v>38</v>
      </c>
      <c r="AJ58" s="79" t="s">
        <v>38</v>
      </c>
      <c r="AK58" s="79" t="s">
        <v>38</v>
      </c>
      <c r="AL58" s="79" t="s">
        <v>38</v>
      </c>
      <c r="AM58" s="79" t="s">
        <v>38</v>
      </c>
      <c r="AN58" s="79" t="s">
        <v>38</v>
      </c>
      <c r="AO58" s="79" t="s">
        <v>38</v>
      </c>
      <c r="AP58" s="79" t="s">
        <v>38</v>
      </c>
      <c r="AQ58" s="79" t="s">
        <v>38</v>
      </c>
      <c r="AR58" s="79" t="s">
        <v>38</v>
      </c>
      <c r="AS58" s="79" t="s">
        <v>38</v>
      </c>
      <c r="AT58" s="79" t="s">
        <v>38</v>
      </c>
      <c r="AU58" s="79" t="s">
        <v>38</v>
      </c>
      <c r="AV58" s="79" t="s">
        <v>38</v>
      </c>
      <c r="AW58" s="79" t="s">
        <v>38</v>
      </c>
      <c r="AX58" s="79" t="s">
        <v>38</v>
      </c>
      <c r="AY58" s="79" t="s">
        <v>38</v>
      </c>
      <c r="AZ58" s="79" t="s">
        <v>38</v>
      </c>
      <c r="BA58" s="79" t="s">
        <v>38</v>
      </c>
      <c r="BB58" s="79" t="s">
        <v>38</v>
      </c>
      <c r="BC58" s="79" t="s">
        <v>38</v>
      </c>
      <c r="BD58" s="79" t="s">
        <v>38</v>
      </c>
      <c r="BE58" s="79" t="s">
        <v>38</v>
      </c>
      <c r="BF58" s="79" t="s">
        <v>38</v>
      </c>
      <c r="BG58" s="79" t="s">
        <v>38</v>
      </c>
      <c r="BH58" s="79" t="s">
        <v>38</v>
      </c>
      <c r="BI58" s="79" t="s">
        <v>38</v>
      </c>
      <c r="BJ58" s="79" t="s">
        <v>38</v>
      </c>
      <c r="BK58" s="79" t="s">
        <v>38</v>
      </c>
      <c r="BL58" s="79" t="s">
        <v>38</v>
      </c>
      <c r="BM58" s="79" t="s">
        <v>38</v>
      </c>
      <c r="BN58" s="79" t="s">
        <v>38</v>
      </c>
      <c r="BO58" s="79" t="s">
        <v>38</v>
      </c>
      <c r="BP58" s="79" t="s">
        <v>38</v>
      </c>
      <c r="BQ58" s="79" t="s">
        <v>38</v>
      </c>
      <c r="BR58" s="79" t="s">
        <v>38</v>
      </c>
      <c r="BS58" s="79" t="s">
        <v>38</v>
      </c>
      <c r="BT58" s="79" t="s">
        <v>38</v>
      </c>
      <c r="BU58" s="79" t="s">
        <v>38</v>
      </c>
      <c r="BV58" s="79" t="s">
        <v>38</v>
      </c>
      <c r="BW58" s="79" t="s">
        <v>38</v>
      </c>
      <c r="BX58" s="79" t="s">
        <v>38</v>
      </c>
      <c r="BY58" s="78" t="s">
        <v>38</v>
      </c>
      <c r="BZ58" s="79" t="s">
        <v>38</v>
      </c>
      <c r="CA58" s="90" t="s">
        <v>38</v>
      </c>
    </row>
    <row r="59" spans="1:79">
      <c r="A59" s="64">
        <v>50</v>
      </c>
      <c r="B59" s="82">
        <v>254459.96109699999</v>
      </c>
      <c r="C59" s="82">
        <v>4505611.5409000004</v>
      </c>
      <c r="D59" s="78" t="s">
        <v>38</v>
      </c>
      <c r="E59" s="79" t="s">
        <v>38</v>
      </c>
      <c r="F59" s="79" t="s">
        <v>38</v>
      </c>
      <c r="G59" s="79" t="s">
        <v>38</v>
      </c>
      <c r="H59" s="79" t="s">
        <v>38</v>
      </c>
      <c r="I59" s="79" t="s">
        <v>38</v>
      </c>
      <c r="J59" s="79" t="s">
        <v>38</v>
      </c>
      <c r="K59" s="79" t="s">
        <v>38</v>
      </c>
      <c r="L59" s="79" t="s">
        <v>38</v>
      </c>
      <c r="M59" s="79" t="s">
        <v>38</v>
      </c>
      <c r="N59" s="79" t="s">
        <v>38</v>
      </c>
      <c r="O59" s="79" t="s">
        <v>38</v>
      </c>
      <c r="P59" s="79" t="s">
        <v>38</v>
      </c>
      <c r="Q59" s="79" t="s">
        <v>38</v>
      </c>
      <c r="R59" s="79" t="s">
        <v>38</v>
      </c>
      <c r="S59" s="79" t="s">
        <v>38</v>
      </c>
      <c r="T59" s="79" t="s">
        <v>38</v>
      </c>
      <c r="U59" s="79" t="s">
        <v>38</v>
      </c>
      <c r="V59" s="79" t="s">
        <v>38</v>
      </c>
      <c r="W59" s="79" t="s">
        <v>38</v>
      </c>
      <c r="X59" s="79" t="s">
        <v>38</v>
      </c>
      <c r="Y59" s="79" t="s">
        <v>38</v>
      </c>
      <c r="Z59" s="79" t="s">
        <v>38</v>
      </c>
      <c r="AA59" s="79" t="s">
        <v>38</v>
      </c>
      <c r="AB59" s="79" t="s">
        <v>38</v>
      </c>
      <c r="AC59" s="79" t="s">
        <v>38</v>
      </c>
      <c r="AD59" s="79" t="s">
        <v>38</v>
      </c>
      <c r="AE59" s="79" t="s">
        <v>38</v>
      </c>
      <c r="AF59" s="79" t="s">
        <v>38</v>
      </c>
      <c r="AG59" s="79" t="s">
        <v>38</v>
      </c>
      <c r="AH59" s="79" t="s">
        <v>38</v>
      </c>
      <c r="AI59" s="79" t="s">
        <v>38</v>
      </c>
      <c r="AJ59" s="79" t="s">
        <v>38</v>
      </c>
      <c r="AK59" s="79" t="s">
        <v>38</v>
      </c>
      <c r="AL59" s="79" t="s">
        <v>38</v>
      </c>
      <c r="AM59" s="79" t="s">
        <v>38</v>
      </c>
      <c r="AN59" s="79" t="s">
        <v>38</v>
      </c>
      <c r="AO59" s="79" t="s">
        <v>38</v>
      </c>
      <c r="AP59" s="79" t="s">
        <v>38</v>
      </c>
      <c r="AQ59" s="79" t="s">
        <v>38</v>
      </c>
      <c r="AR59" s="79" t="s">
        <v>38</v>
      </c>
      <c r="AS59" s="79" t="s">
        <v>38</v>
      </c>
      <c r="AT59" s="79" t="s">
        <v>38</v>
      </c>
      <c r="AU59" s="79" t="s">
        <v>38</v>
      </c>
      <c r="AV59" s="79" t="s">
        <v>38</v>
      </c>
      <c r="AW59" s="79" t="s">
        <v>38</v>
      </c>
      <c r="AX59" s="79" t="s">
        <v>38</v>
      </c>
      <c r="AY59" s="79" t="s">
        <v>38</v>
      </c>
      <c r="AZ59" s="79" t="s">
        <v>38</v>
      </c>
      <c r="BA59" s="79" t="s">
        <v>38</v>
      </c>
      <c r="BB59" s="79" t="s">
        <v>38</v>
      </c>
      <c r="BC59" s="79" t="s">
        <v>38</v>
      </c>
      <c r="BD59" s="79" t="s">
        <v>38</v>
      </c>
      <c r="BE59" s="79" t="s">
        <v>38</v>
      </c>
      <c r="BF59" s="79" t="s">
        <v>38</v>
      </c>
      <c r="BG59" s="79" t="s">
        <v>38</v>
      </c>
      <c r="BH59" s="79" t="s">
        <v>38</v>
      </c>
      <c r="BI59" s="79" t="s">
        <v>38</v>
      </c>
      <c r="BJ59" s="79" t="s">
        <v>38</v>
      </c>
      <c r="BK59" s="79" t="s">
        <v>38</v>
      </c>
      <c r="BL59" s="79" t="s">
        <v>38</v>
      </c>
      <c r="BM59" s="79" t="s">
        <v>38</v>
      </c>
      <c r="BN59" s="79" t="s">
        <v>38</v>
      </c>
      <c r="BO59" s="79" t="s">
        <v>38</v>
      </c>
      <c r="BP59" s="79" t="s">
        <v>38</v>
      </c>
      <c r="BQ59" s="79" t="s">
        <v>38</v>
      </c>
      <c r="BR59" s="79" t="s">
        <v>38</v>
      </c>
      <c r="BS59" s="79" t="s">
        <v>38</v>
      </c>
      <c r="BT59" s="79" t="s">
        <v>38</v>
      </c>
      <c r="BU59" s="79" t="s">
        <v>38</v>
      </c>
      <c r="BV59" s="79" t="s">
        <v>38</v>
      </c>
      <c r="BW59" s="79" t="s">
        <v>38</v>
      </c>
      <c r="BX59" s="79" t="s">
        <v>38</v>
      </c>
      <c r="BY59" s="78" t="s">
        <v>38</v>
      </c>
      <c r="BZ59" s="79" t="s">
        <v>38</v>
      </c>
      <c r="CA59" s="90" t="s">
        <v>38</v>
      </c>
    </row>
    <row r="60" spans="1:79">
      <c r="A60" s="64">
        <v>51</v>
      </c>
      <c r="B60" s="82">
        <v>254457.91333000001</v>
      </c>
      <c r="C60" s="82">
        <v>4505621.1563900001</v>
      </c>
      <c r="D60" s="78">
        <v>0.29099999999999998</v>
      </c>
      <c r="E60" s="78">
        <v>0.27550000000000002</v>
      </c>
      <c r="F60" s="79" t="s">
        <v>38</v>
      </c>
      <c r="G60" s="79">
        <v>0.28549999999999998</v>
      </c>
      <c r="H60" s="78">
        <v>0.27849999999999997</v>
      </c>
      <c r="I60" s="78">
        <v>0.2515</v>
      </c>
      <c r="J60" s="78">
        <v>0.2185</v>
      </c>
      <c r="K60" s="78">
        <v>0.17699999999999999</v>
      </c>
      <c r="L60" s="79" t="s">
        <v>38</v>
      </c>
      <c r="M60" s="79" t="s">
        <v>38</v>
      </c>
      <c r="N60" s="79" t="s">
        <v>38</v>
      </c>
      <c r="O60" s="79" t="s">
        <v>38</v>
      </c>
      <c r="P60" s="79" t="s">
        <v>38</v>
      </c>
      <c r="Q60" s="79" t="s">
        <v>38</v>
      </c>
      <c r="R60" s="79" t="s">
        <v>38</v>
      </c>
      <c r="S60" s="79" t="s">
        <v>38</v>
      </c>
      <c r="T60" s="40">
        <v>0.28999999999999998</v>
      </c>
      <c r="U60" s="40">
        <v>0.28899999999999998</v>
      </c>
      <c r="V60" s="79" t="s">
        <v>38</v>
      </c>
      <c r="W60" s="40">
        <v>0.33300000000000002</v>
      </c>
      <c r="X60" s="40">
        <v>0.315</v>
      </c>
      <c r="Y60" s="40">
        <v>0.31900000000000001</v>
      </c>
      <c r="Z60" s="40">
        <v>0.32</v>
      </c>
      <c r="AA60" s="40">
        <v>0.316</v>
      </c>
      <c r="AB60" s="40">
        <v>0.317</v>
      </c>
      <c r="AC60" s="40">
        <v>0.308</v>
      </c>
      <c r="AD60" s="40">
        <v>0.29899999999999999</v>
      </c>
      <c r="AE60" s="40">
        <v>0.27700000000000002</v>
      </c>
      <c r="AF60" s="40">
        <v>0.255</v>
      </c>
      <c r="AG60" s="40">
        <v>0.20699999999999999</v>
      </c>
      <c r="AH60" s="40">
        <v>0.222</v>
      </c>
      <c r="AI60" s="40">
        <v>0.20899999999999999</v>
      </c>
      <c r="AJ60" s="40">
        <v>0.22600000000000001</v>
      </c>
      <c r="AK60" s="40">
        <v>0.19400000000000001</v>
      </c>
      <c r="AL60" s="40">
        <v>0.19400000000000001</v>
      </c>
      <c r="AM60" s="40">
        <v>0.39100000000000001</v>
      </c>
      <c r="AN60" s="40">
        <v>0.246</v>
      </c>
      <c r="AO60" s="40">
        <v>0.20599999999999999</v>
      </c>
      <c r="AP60" s="40">
        <v>0.26</v>
      </c>
      <c r="AQ60" s="40">
        <v>0.24099999999999999</v>
      </c>
      <c r="AR60" s="40">
        <v>0.23</v>
      </c>
      <c r="AS60" s="40">
        <v>0.215</v>
      </c>
      <c r="AT60" s="40">
        <v>0.26200000000000001</v>
      </c>
      <c r="AU60" s="40">
        <v>0.214</v>
      </c>
      <c r="AV60" s="40">
        <v>0.214</v>
      </c>
      <c r="AW60" s="40">
        <v>0.19</v>
      </c>
      <c r="AX60" s="40">
        <v>0.193</v>
      </c>
      <c r="AY60" s="40">
        <v>0.216</v>
      </c>
      <c r="AZ60" s="40">
        <v>0.21299999999999999</v>
      </c>
      <c r="BA60" s="40">
        <v>0.215</v>
      </c>
      <c r="BB60" s="49">
        <v>0.20749999999999999</v>
      </c>
      <c r="BC60" s="40">
        <v>0.2525</v>
      </c>
      <c r="BD60" s="50">
        <v>0.29849999999999999</v>
      </c>
      <c r="BE60" s="50">
        <v>0.28600000000000003</v>
      </c>
      <c r="BF60" s="58">
        <v>0.21149999999999999</v>
      </c>
      <c r="BG60" s="40">
        <v>0.28400000000000003</v>
      </c>
      <c r="BH60" s="38">
        <v>0.25600000000000001</v>
      </c>
      <c r="BI60" s="38">
        <v>0.27550000000000002</v>
      </c>
      <c r="BJ60" s="38">
        <v>0.27200000000000002</v>
      </c>
      <c r="BK60" s="38">
        <v>0.27050000000000002</v>
      </c>
      <c r="BL60" s="38">
        <v>0.27849999999999997</v>
      </c>
      <c r="BM60" s="38">
        <v>0.28899999999999998</v>
      </c>
      <c r="BN60" s="40">
        <v>0.30299999999999999</v>
      </c>
      <c r="BO60" s="40">
        <v>0.28449999999999998</v>
      </c>
      <c r="BP60" s="38">
        <v>0.27700000000000002</v>
      </c>
      <c r="BQ60" s="38">
        <v>0.20799999999999999</v>
      </c>
      <c r="BR60" s="41">
        <v>0.20600000000000002</v>
      </c>
      <c r="BS60" s="41">
        <v>0.20100000000000001</v>
      </c>
      <c r="BT60" s="41">
        <v>0.1925</v>
      </c>
      <c r="BU60" s="42">
        <v>0.20849999999999999</v>
      </c>
      <c r="BV60" s="41">
        <v>0.1885</v>
      </c>
      <c r="BW60" s="79" t="s">
        <v>38</v>
      </c>
      <c r="BX60" s="79" t="s">
        <v>38</v>
      </c>
      <c r="BY60" s="85">
        <f>(0.294+0.303)/2</f>
        <v>0.29849999999999999</v>
      </c>
      <c r="BZ60" s="85">
        <f>(0.394+0.372)/2</f>
        <v>0.38300000000000001</v>
      </c>
      <c r="CA60" s="90">
        <v>0.29299999999999998</v>
      </c>
    </row>
    <row r="61" spans="1:79">
      <c r="A61" s="64" t="s">
        <v>14</v>
      </c>
      <c r="B61" s="82">
        <v>254459.08399399999</v>
      </c>
      <c r="C61" s="82">
        <v>4505622.0498400005</v>
      </c>
      <c r="D61" s="78">
        <v>0.28349999999999997</v>
      </c>
      <c r="E61" s="78">
        <v>0.28899999999999998</v>
      </c>
      <c r="F61" s="78">
        <v>0.28599999999999998</v>
      </c>
      <c r="G61" s="79">
        <v>0.31850000000000001</v>
      </c>
      <c r="H61" s="78">
        <v>0.3105</v>
      </c>
      <c r="I61" s="78">
        <v>0.216</v>
      </c>
      <c r="J61" s="78">
        <v>0.1855</v>
      </c>
      <c r="K61" s="78">
        <v>0.16750000000000001</v>
      </c>
      <c r="L61" s="78">
        <v>0.17949999999999999</v>
      </c>
      <c r="M61" s="78">
        <v>0.1535</v>
      </c>
      <c r="N61" s="67">
        <v>0.20899999999999999</v>
      </c>
      <c r="O61" s="67">
        <v>0.1515</v>
      </c>
      <c r="P61" s="67">
        <v>0.16449999999999998</v>
      </c>
      <c r="Q61" s="67">
        <v>0.21249999999999999</v>
      </c>
      <c r="R61" s="67">
        <v>0.218</v>
      </c>
      <c r="S61" s="67">
        <v>0.19750000000000001</v>
      </c>
      <c r="T61" s="40">
        <v>0.317</v>
      </c>
      <c r="U61" s="40">
        <v>0.32400000000000001</v>
      </c>
      <c r="V61" s="79" t="s">
        <v>38</v>
      </c>
      <c r="W61" s="40">
        <v>0.372</v>
      </c>
      <c r="X61" s="40">
        <v>0.32400000000000001</v>
      </c>
      <c r="Y61" s="40" t="s">
        <v>38</v>
      </c>
      <c r="Z61" s="40">
        <v>0.35499999999999998</v>
      </c>
      <c r="AA61" s="40">
        <v>0.35299999999999998</v>
      </c>
      <c r="AB61" s="40" t="s">
        <v>38</v>
      </c>
      <c r="AC61" s="40">
        <v>0.34300000000000003</v>
      </c>
      <c r="AD61" s="40">
        <v>0.318</v>
      </c>
      <c r="AE61" s="40" t="s">
        <v>38</v>
      </c>
      <c r="AF61" s="40">
        <v>0.20499999999999999</v>
      </c>
      <c r="AG61" s="40">
        <v>0.188</v>
      </c>
      <c r="AH61" s="40">
        <v>0.20200000000000001</v>
      </c>
      <c r="AI61" s="40" t="s">
        <v>38</v>
      </c>
      <c r="AJ61" s="40" t="s">
        <v>38</v>
      </c>
      <c r="AK61" s="40">
        <v>0.18099999999999999</v>
      </c>
      <c r="AL61" s="40">
        <v>0.18099999999999999</v>
      </c>
      <c r="AM61" s="40">
        <v>0.41199999999999998</v>
      </c>
      <c r="AN61" s="40">
        <v>0.251</v>
      </c>
      <c r="AO61" s="40" t="s">
        <v>38</v>
      </c>
      <c r="AP61" s="40" t="s">
        <v>38</v>
      </c>
      <c r="AQ61" s="40">
        <v>0.21299999999999999</v>
      </c>
      <c r="AR61" s="40" t="s">
        <v>38</v>
      </c>
      <c r="AS61" s="40">
        <v>0.19900000000000001</v>
      </c>
      <c r="AT61" s="40" t="s">
        <v>38</v>
      </c>
      <c r="AU61" s="40">
        <v>0.19400000000000001</v>
      </c>
      <c r="AV61" s="40" t="s">
        <v>38</v>
      </c>
      <c r="AW61" s="40" t="s">
        <v>38</v>
      </c>
      <c r="AX61" s="40" t="s">
        <v>38</v>
      </c>
      <c r="AY61" s="40">
        <v>0.28100000000000003</v>
      </c>
      <c r="AZ61" s="40">
        <v>0.24</v>
      </c>
      <c r="BA61" s="40">
        <v>0.28100000000000003</v>
      </c>
      <c r="BB61" s="49">
        <v>0.16200000000000001</v>
      </c>
      <c r="BC61" s="40">
        <v>0.20250000000000001</v>
      </c>
      <c r="BD61" s="50">
        <v>0.27050000000000002</v>
      </c>
      <c r="BE61" s="50">
        <v>0.23799999999999999</v>
      </c>
      <c r="BF61" s="58">
        <v>0.18099999999999999</v>
      </c>
      <c r="BG61" s="40">
        <v>0.26500000000000001</v>
      </c>
      <c r="BH61" s="38" t="s">
        <v>38</v>
      </c>
      <c r="BI61" s="38" t="s">
        <v>38</v>
      </c>
      <c r="BJ61" s="38" t="s">
        <v>38</v>
      </c>
      <c r="BK61" s="38">
        <v>0.27400000000000002</v>
      </c>
      <c r="BL61" s="38" t="s">
        <v>38</v>
      </c>
      <c r="BM61" s="38" t="s">
        <v>38</v>
      </c>
      <c r="BN61" s="39" t="s">
        <v>38</v>
      </c>
      <c r="BO61" s="40" t="s">
        <v>38</v>
      </c>
      <c r="BP61" s="38" t="s">
        <v>38</v>
      </c>
      <c r="BQ61" s="38">
        <v>0.183</v>
      </c>
      <c r="BR61" s="41">
        <v>0.186</v>
      </c>
      <c r="BS61" s="41">
        <v>0.1875</v>
      </c>
      <c r="BT61" s="41">
        <v>0.1835</v>
      </c>
      <c r="BU61" s="42">
        <v>0.17549999999999999</v>
      </c>
      <c r="BV61" s="41" t="s">
        <v>38</v>
      </c>
      <c r="BW61" s="42">
        <v>0.19</v>
      </c>
      <c r="BX61" s="42" t="s">
        <v>38</v>
      </c>
      <c r="BY61" s="85">
        <f>(0.282+0.293)/2</f>
        <v>0.28749999999999998</v>
      </c>
      <c r="BZ61" s="85">
        <f>(0.407+0.402)/2</f>
        <v>0.40449999999999997</v>
      </c>
      <c r="CA61" s="91">
        <v>0.29849999999999999</v>
      </c>
    </row>
    <row r="62" spans="1:79">
      <c r="A62" s="64" t="s">
        <v>15</v>
      </c>
      <c r="B62" s="82">
        <v>254458.677084</v>
      </c>
      <c r="C62" s="82">
        <v>4505620.2194800004</v>
      </c>
      <c r="D62" s="78">
        <v>0.28649999999999998</v>
      </c>
      <c r="E62" s="78">
        <v>0.26150000000000001</v>
      </c>
      <c r="F62" s="78">
        <v>0.28499999999999998</v>
      </c>
      <c r="G62" s="79">
        <v>0.28600000000000003</v>
      </c>
      <c r="H62" s="78">
        <v>0.26300000000000001</v>
      </c>
      <c r="I62" s="78">
        <v>0.247</v>
      </c>
      <c r="J62" s="78">
        <v>0.22550000000000001</v>
      </c>
      <c r="K62" s="78">
        <v>0.184</v>
      </c>
      <c r="L62" s="78">
        <v>0.218</v>
      </c>
      <c r="M62" s="78">
        <v>0.17849999999999999</v>
      </c>
      <c r="N62" s="67">
        <v>0.18099999999999999</v>
      </c>
      <c r="O62" s="67">
        <v>0.17799999999999999</v>
      </c>
      <c r="P62" s="79" t="s">
        <v>38</v>
      </c>
      <c r="Q62" s="67">
        <v>0.22900000000000001</v>
      </c>
      <c r="R62" s="79" t="s">
        <v>38</v>
      </c>
      <c r="S62" s="79" t="s">
        <v>38</v>
      </c>
      <c r="T62" s="40">
        <v>0.307</v>
      </c>
      <c r="U62" s="40">
        <v>0.30199999999999999</v>
      </c>
      <c r="V62" s="79" t="s">
        <v>38</v>
      </c>
      <c r="W62" s="40">
        <v>0.34499999999999997</v>
      </c>
      <c r="X62" s="40">
        <v>0.28399999999999997</v>
      </c>
      <c r="Y62" s="40" t="s">
        <v>38</v>
      </c>
      <c r="Z62" s="40">
        <v>0.313</v>
      </c>
      <c r="AA62" s="40">
        <v>0.311</v>
      </c>
      <c r="AB62" s="40" t="s">
        <v>38</v>
      </c>
      <c r="AC62" s="40">
        <v>0.316</v>
      </c>
      <c r="AD62" s="40">
        <v>0.27900000000000003</v>
      </c>
      <c r="AE62" s="40" t="s">
        <v>38</v>
      </c>
      <c r="AF62" s="40">
        <v>0.218</v>
      </c>
      <c r="AG62" s="40">
        <v>0.20499999999999999</v>
      </c>
      <c r="AH62" s="40">
        <v>0.19900000000000001</v>
      </c>
      <c r="AI62" s="40" t="s">
        <v>38</v>
      </c>
      <c r="AJ62" s="40" t="s">
        <v>38</v>
      </c>
      <c r="AK62" s="40">
        <v>0.19500000000000001</v>
      </c>
      <c r="AL62" s="40">
        <v>0.19500000000000001</v>
      </c>
      <c r="AM62" s="40">
        <v>0.29699999999999999</v>
      </c>
      <c r="AN62" s="40">
        <v>0.25800000000000001</v>
      </c>
      <c r="AO62" s="40" t="s">
        <v>38</v>
      </c>
      <c r="AP62" s="40" t="s">
        <v>38</v>
      </c>
      <c r="AQ62" s="40">
        <v>0.24399999999999999</v>
      </c>
      <c r="AR62" s="40" t="s">
        <v>38</v>
      </c>
      <c r="AS62" s="40">
        <v>0.21299999999999999</v>
      </c>
      <c r="AT62" s="40" t="s">
        <v>38</v>
      </c>
      <c r="AU62" s="40">
        <v>0.21</v>
      </c>
      <c r="AV62" s="40" t="s">
        <v>38</v>
      </c>
      <c r="AW62" s="40" t="s">
        <v>38</v>
      </c>
      <c r="AX62" s="40" t="s">
        <v>38</v>
      </c>
      <c r="AY62" s="40">
        <v>0.17</v>
      </c>
      <c r="AZ62" s="40">
        <v>0.188</v>
      </c>
      <c r="BA62" s="40">
        <v>0.21099999999999999</v>
      </c>
      <c r="BB62" s="49">
        <v>0.20749999999999999</v>
      </c>
      <c r="BC62" s="40">
        <v>0.23699999999999999</v>
      </c>
      <c r="BD62" s="50">
        <v>0.33250000000000002</v>
      </c>
      <c r="BE62" s="50">
        <v>0.28149999999999997</v>
      </c>
      <c r="BF62" s="58">
        <v>0.2145</v>
      </c>
      <c r="BG62" s="40">
        <v>0.28499999999999998</v>
      </c>
      <c r="BH62" s="38" t="s">
        <v>38</v>
      </c>
      <c r="BI62" s="38" t="s">
        <v>38</v>
      </c>
      <c r="BJ62" s="38" t="s">
        <v>38</v>
      </c>
      <c r="BK62" s="38">
        <v>0.27850000000000003</v>
      </c>
      <c r="BL62" s="38" t="s">
        <v>38</v>
      </c>
      <c r="BM62" s="38" t="s">
        <v>38</v>
      </c>
      <c r="BN62" s="39" t="s">
        <v>38</v>
      </c>
      <c r="BO62" s="40" t="s">
        <v>38</v>
      </c>
      <c r="BP62" s="38" t="s">
        <v>38</v>
      </c>
      <c r="BQ62" s="38">
        <v>0.20699999999999999</v>
      </c>
      <c r="BR62" s="41">
        <v>0.1885</v>
      </c>
      <c r="BS62" s="41">
        <v>0.2</v>
      </c>
      <c r="BT62" s="41">
        <v>0.1925</v>
      </c>
      <c r="BU62" s="42">
        <v>0.19650000000000001</v>
      </c>
      <c r="BV62" s="41" t="s">
        <v>38</v>
      </c>
      <c r="BW62" s="42" t="s">
        <v>38</v>
      </c>
      <c r="BX62" s="42" t="s">
        <v>38</v>
      </c>
      <c r="BY62" s="85">
        <f>(0.276+0.295)/2</f>
        <v>0.28549999999999998</v>
      </c>
      <c r="BZ62" s="85">
        <f>(0.407+0.373)/2</f>
        <v>0.39</v>
      </c>
      <c r="CA62" s="91">
        <v>0.314</v>
      </c>
    </row>
    <row r="63" spans="1:79">
      <c r="A63" s="64" t="s">
        <v>16</v>
      </c>
      <c r="B63" s="82">
        <v>254456.72850500001</v>
      </c>
      <c r="C63" s="82">
        <v>4505620.3603600003</v>
      </c>
      <c r="D63" s="78">
        <v>0.27</v>
      </c>
      <c r="E63" s="78">
        <v>0.26350000000000001</v>
      </c>
      <c r="F63" s="78">
        <v>0.26800000000000002</v>
      </c>
      <c r="G63" s="79">
        <v>0.27250000000000002</v>
      </c>
      <c r="H63" s="78">
        <v>0.26150000000000001</v>
      </c>
      <c r="I63" s="78">
        <v>0.22899999999999998</v>
      </c>
      <c r="J63" s="78">
        <v>0.21149999999999999</v>
      </c>
      <c r="K63" s="78">
        <v>0.17249999999999999</v>
      </c>
      <c r="L63" s="78">
        <v>0.1905</v>
      </c>
      <c r="M63" s="78">
        <v>0.16200000000000001</v>
      </c>
      <c r="N63" s="67">
        <v>0.17449999999999999</v>
      </c>
      <c r="O63" s="67">
        <v>0.16200000000000001</v>
      </c>
      <c r="P63" s="79" t="s">
        <v>38</v>
      </c>
      <c r="Q63" s="67">
        <v>0.215</v>
      </c>
      <c r="R63" s="79" t="s">
        <v>38</v>
      </c>
      <c r="S63" s="79" t="s">
        <v>38</v>
      </c>
      <c r="T63" s="40">
        <v>0.27700000000000002</v>
      </c>
      <c r="U63" s="40">
        <v>0.29599999999999999</v>
      </c>
      <c r="V63" s="79" t="s">
        <v>38</v>
      </c>
      <c r="W63" s="40">
        <v>0.31900000000000001</v>
      </c>
      <c r="X63" s="40">
        <v>0.28599999999999998</v>
      </c>
      <c r="Y63" s="40" t="s">
        <v>38</v>
      </c>
      <c r="Z63" s="40">
        <v>0.29699999999999999</v>
      </c>
      <c r="AA63" s="40">
        <v>0.29099999999999998</v>
      </c>
      <c r="AB63" s="40" t="s">
        <v>38</v>
      </c>
      <c r="AC63" s="40">
        <v>0.28399999999999997</v>
      </c>
      <c r="AD63" s="40">
        <v>0.28100000000000003</v>
      </c>
      <c r="AE63" s="40" t="s">
        <v>38</v>
      </c>
      <c r="AF63" s="40">
        <v>0.22600000000000001</v>
      </c>
      <c r="AG63" s="40">
        <v>0.20699999999999999</v>
      </c>
      <c r="AH63" s="40">
        <v>0.20499999999999999</v>
      </c>
      <c r="AI63" s="40" t="s">
        <v>38</v>
      </c>
      <c r="AJ63" s="40" t="s">
        <v>38</v>
      </c>
      <c r="AK63" s="40">
        <v>0.182</v>
      </c>
      <c r="AL63" s="40">
        <v>0.182</v>
      </c>
      <c r="AM63" s="40">
        <v>0.248</v>
      </c>
      <c r="AN63" s="40">
        <v>0.24</v>
      </c>
      <c r="AO63" s="40" t="s">
        <v>38</v>
      </c>
      <c r="AP63" s="40" t="s">
        <v>38</v>
      </c>
      <c r="AQ63" s="40">
        <v>0.23899999999999999</v>
      </c>
      <c r="AR63" s="40" t="s">
        <v>38</v>
      </c>
      <c r="AS63" s="40">
        <v>0.22800000000000001</v>
      </c>
      <c r="AT63" s="40" t="s">
        <v>38</v>
      </c>
      <c r="AU63" s="40">
        <v>0.216</v>
      </c>
      <c r="AV63" s="40" t="s">
        <v>38</v>
      </c>
      <c r="AW63" s="40" t="s">
        <v>38</v>
      </c>
      <c r="AX63" s="40" t="s">
        <v>38</v>
      </c>
      <c r="AY63" s="40">
        <v>0.27</v>
      </c>
      <c r="AZ63" s="40">
        <v>0.22700000000000001</v>
      </c>
      <c r="BA63" s="40">
        <v>0.27800000000000002</v>
      </c>
      <c r="BB63" s="49">
        <v>0.16700000000000001</v>
      </c>
      <c r="BC63" s="40">
        <v>0.20749999999999999</v>
      </c>
      <c r="BD63" s="50">
        <v>0.2145</v>
      </c>
      <c r="BE63" s="50">
        <v>0.23499999999999999</v>
      </c>
      <c r="BF63" s="58">
        <v>0.17399999999999999</v>
      </c>
      <c r="BG63" s="40">
        <v>0.251</v>
      </c>
      <c r="BH63" s="38" t="s">
        <v>38</v>
      </c>
      <c r="BI63" s="38" t="s">
        <v>38</v>
      </c>
      <c r="BJ63" s="38" t="s">
        <v>38</v>
      </c>
      <c r="BK63" s="38">
        <v>0.249</v>
      </c>
      <c r="BL63" s="38" t="s">
        <v>38</v>
      </c>
      <c r="BM63" s="38" t="s">
        <v>38</v>
      </c>
      <c r="BN63" s="39" t="s">
        <v>38</v>
      </c>
      <c r="BO63" s="40" t="s">
        <v>38</v>
      </c>
      <c r="BP63" s="38" t="s">
        <v>38</v>
      </c>
      <c r="BQ63" s="38">
        <v>0.191</v>
      </c>
      <c r="BR63" s="41">
        <v>0.193</v>
      </c>
      <c r="BS63" s="41">
        <v>0.19850000000000001</v>
      </c>
      <c r="BT63" s="41">
        <v>0.191</v>
      </c>
      <c r="BU63" s="42">
        <v>0.183</v>
      </c>
      <c r="BV63" s="41" t="s">
        <v>38</v>
      </c>
      <c r="BW63" s="42" t="s">
        <v>38</v>
      </c>
      <c r="BX63" s="42" t="s">
        <v>38</v>
      </c>
      <c r="BY63" s="85">
        <f>(0.29+0.292)/2</f>
        <v>0.29099999999999998</v>
      </c>
      <c r="BZ63" s="85">
        <f>(0.374+0.369)/2</f>
        <v>0.3715</v>
      </c>
      <c r="CA63" s="91">
        <v>0.27650000000000002</v>
      </c>
    </row>
    <row r="64" spans="1:79">
      <c r="A64" s="64" t="s">
        <v>17</v>
      </c>
      <c r="B64" s="82">
        <v>254457.14039799999</v>
      </c>
      <c r="C64" s="82">
        <v>4505622.2859399999</v>
      </c>
      <c r="D64" s="78">
        <v>0.3095</v>
      </c>
      <c r="E64" s="78">
        <v>0.29599999999999999</v>
      </c>
      <c r="F64" s="78">
        <v>0.3</v>
      </c>
      <c r="G64" s="79">
        <v>0.3155</v>
      </c>
      <c r="H64" s="78">
        <v>0.29799999999999999</v>
      </c>
      <c r="I64" s="78">
        <v>0.22549999999999998</v>
      </c>
      <c r="J64" s="78">
        <v>0.20949999999999999</v>
      </c>
      <c r="K64" s="78">
        <v>0.184</v>
      </c>
      <c r="L64" s="78">
        <v>0.24199999999999999</v>
      </c>
      <c r="M64" s="78">
        <v>0.19450000000000001</v>
      </c>
      <c r="N64" s="67">
        <v>0.24299999999999999</v>
      </c>
      <c r="O64" s="67">
        <v>0.185</v>
      </c>
      <c r="P64" s="79" t="s">
        <v>38</v>
      </c>
      <c r="Q64" s="67">
        <v>0.2485</v>
      </c>
      <c r="R64" s="79" t="s">
        <v>38</v>
      </c>
      <c r="S64" s="79" t="s">
        <v>38</v>
      </c>
      <c r="T64" s="40">
        <v>0.314</v>
      </c>
      <c r="U64" s="40">
        <v>0.32500000000000001</v>
      </c>
      <c r="V64" s="79" t="s">
        <v>38</v>
      </c>
      <c r="W64" s="40">
        <v>0.34899999999999998</v>
      </c>
      <c r="X64" s="40">
        <v>0.34100000000000003</v>
      </c>
      <c r="Y64" s="40" t="s">
        <v>38</v>
      </c>
      <c r="Z64" s="40">
        <v>0.32600000000000001</v>
      </c>
      <c r="AA64" s="40">
        <v>0.35699999999999998</v>
      </c>
      <c r="AB64" s="40" t="s">
        <v>38</v>
      </c>
      <c r="AC64" s="40">
        <v>0.32200000000000001</v>
      </c>
      <c r="AD64" s="40">
        <v>0.32900000000000001</v>
      </c>
      <c r="AE64" s="40" t="s">
        <v>38</v>
      </c>
      <c r="AF64" s="40">
        <v>0.22900000000000001</v>
      </c>
      <c r="AG64" s="40">
        <v>0.224</v>
      </c>
      <c r="AH64" s="40">
        <v>0.221</v>
      </c>
      <c r="AI64" s="40" t="s">
        <v>38</v>
      </c>
      <c r="AJ64" s="40" t="s">
        <v>38</v>
      </c>
      <c r="AK64" s="40">
        <v>0.20100000000000001</v>
      </c>
      <c r="AL64" s="40">
        <v>0.20100000000000001</v>
      </c>
      <c r="AM64" s="40">
        <v>0.39500000000000002</v>
      </c>
      <c r="AN64" s="40">
        <v>0.252</v>
      </c>
      <c r="AO64" s="40" t="s">
        <v>38</v>
      </c>
      <c r="AP64" s="40" t="s">
        <v>38</v>
      </c>
      <c r="AQ64" s="40">
        <v>0.246</v>
      </c>
      <c r="AR64" s="40" t="s">
        <v>38</v>
      </c>
      <c r="AS64" s="40">
        <v>0.218</v>
      </c>
      <c r="AT64" s="40" t="s">
        <v>38</v>
      </c>
      <c r="AU64" s="40">
        <v>0.218</v>
      </c>
      <c r="AV64" s="40" t="s">
        <v>38</v>
      </c>
      <c r="AW64" s="40" t="s">
        <v>38</v>
      </c>
      <c r="AX64" s="40" t="s">
        <v>38</v>
      </c>
      <c r="AY64" s="40">
        <v>0.254</v>
      </c>
      <c r="AZ64" s="40">
        <v>0.23899999999999999</v>
      </c>
      <c r="BA64" s="40">
        <v>0.22500000000000001</v>
      </c>
      <c r="BB64" s="49">
        <v>0.1825</v>
      </c>
      <c r="BC64" s="40">
        <v>0.23</v>
      </c>
      <c r="BD64" s="50">
        <v>0.318</v>
      </c>
      <c r="BE64" s="50">
        <v>0.28049999999999997</v>
      </c>
      <c r="BF64" s="58">
        <v>0.20300000000000001</v>
      </c>
      <c r="BG64" s="40">
        <v>0.314</v>
      </c>
      <c r="BH64" s="38" t="s">
        <v>38</v>
      </c>
      <c r="BI64" s="38" t="s">
        <v>38</v>
      </c>
      <c r="BJ64" s="38" t="s">
        <v>38</v>
      </c>
      <c r="BK64" s="38">
        <v>0.29299999999999998</v>
      </c>
      <c r="BL64" s="38" t="s">
        <v>38</v>
      </c>
      <c r="BM64" s="38" t="s">
        <v>38</v>
      </c>
      <c r="BN64" s="39" t="s">
        <v>38</v>
      </c>
      <c r="BO64" s="40" t="s">
        <v>38</v>
      </c>
      <c r="BP64" s="38" t="s">
        <v>38</v>
      </c>
      <c r="BQ64" s="38">
        <v>0.20400000000000001</v>
      </c>
      <c r="BR64" s="41">
        <v>0.2155</v>
      </c>
      <c r="BS64" s="41">
        <v>0.20250000000000001</v>
      </c>
      <c r="BT64" s="41">
        <v>0.20849999999999999</v>
      </c>
      <c r="BU64" s="42">
        <v>0.22950000000000001</v>
      </c>
      <c r="BV64" s="41" t="s">
        <v>38</v>
      </c>
      <c r="BW64" s="42" t="s">
        <v>38</v>
      </c>
      <c r="BX64" s="42" t="s">
        <v>38</v>
      </c>
      <c r="BY64" s="85">
        <f>(0.319+0.324)/2</f>
        <v>0.32150000000000001</v>
      </c>
      <c r="BZ64" s="85">
        <f>(0.423+0.386)/2</f>
        <v>0.40449999999999997</v>
      </c>
      <c r="CA64" s="91">
        <v>0.312</v>
      </c>
    </row>
    <row r="65" spans="1:79">
      <c r="A65" s="64">
        <v>52</v>
      </c>
      <c r="B65" s="82">
        <v>254458.46923300001</v>
      </c>
      <c r="C65" s="82">
        <v>4505643.4115500003</v>
      </c>
      <c r="D65" s="78">
        <v>0.30399999999999999</v>
      </c>
      <c r="E65" s="78">
        <v>0.29149999999999998</v>
      </c>
      <c r="F65" s="78">
        <v>0.307</v>
      </c>
      <c r="G65" s="79">
        <v>0.30399999999999999</v>
      </c>
      <c r="H65" s="79" t="s">
        <v>38</v>
      </c>
      <c r="I65" s="78">
        <v>0.253</v>
      </c>
      <c r="J65" s="78">
        <v>0.2465</v>
      </c>
      <c r="K65" s="78">
        <v>0.19600000000000001</v>
      </c>
      <c r="L65" s="78">
        <v>0.21</v>
      </c>
      <c r="M65" s="78">
        <v>0.18149999999999999</v>
      </c>
      <c r="N65" s="67">
        <v>0.20800000000000002</v>
      </c>
      <c r="O65" s="67">
        <v>0.17849999999999999</v>
      </c>
      <c r="P65" s="67">
        <v>0.18</v>
      </c>
      <c r="Q65" s="67">
        <v>0.20650000000000002</v>
      </c>
      <c r="R65" s="67">
        <v>0.23250000000000001</v>
      </c>
      <c r="S65" s="67">
        <v>0.22</v>
      </c>
      <c r="T65" s="40">
        <v>0.33100000000000002</v>
      </c>
      <c r="U65" s="40">
        <v>0.32700000000000001</v>
      </c>
      <c r="V65" s="79" t="s">
        <v>38</v>
      </c>
      <c r="W65" s="40">
        <v>0.371</v>
      </c>
      <c r="X65" s="40">
        <v>0.35799999999999998</v>
      </c>
      <c r="Y65" s="40">
        <v>0.36199999999999999</v>
      </c>
      <c r="Z65" s="40">
        <v>0.38</v>
      </c>
      <c r="AA65" s="40">
        <v>0.35</v>
      </c>
      <c r="AB65" s="40">
        <v>0.376</v>
      </c>
      <c r="AC65" s="40">
        <v>0.38900000000000001</v>
      </c>
      <c r="AD65" s="40">
        <v>0.34</v>
      </c>
      <c r="AE65" s="40">
        <v>0.316</v>
      </c>
      <c r="AF65" s="40">
        <v>0.27300000000000002</v>
      </c>
      <c r="AG65" s="40">
        <v>0.245</v>
      </c>
      <c r="AH65" s="40">
        <v>0.24399999999999999</v>
      </c>
      <c r="AI65" s="40">
        <v>0.23499999999999999</v>
      </c>
      <c r="AJ65" s="40">
        <v>0.215</v>
      </c>
      <c r="AK65" s="40">
        <v>0.219</v>
      </c>
      <c r="AL65" s="40">
        <v>0.219</v>
      </c>
      <c r="AM65" s="40">
        <v>0.34499999999999997</v>
      </c>
      <c r="AN65" s="40" t="s">
        <v>38</v>
      </c>
      <c r="AO65" s="40">
        <v>0.25</v>
      </c>
      <c r="AP65" s="40" t="s">
        <v>38</v>
      </c>
      <c r="AQ65" s="40">
        <v>0.26200000000000001</v>
      </c>
      <c r="AR65" s="40">
        <v>0.249</v>
      </c>
      <c r="AS65" s="40">
        <v>0.22700000000000001</v>
      </c>
      <c r="AT65" s="40">
        <v>0.24199999999999999</v>
      </c>
      <c r="AU65" s="40">
        <v>0.22800000000000001</v>
      </c>
      <c r="AV65" s="40">
        <v>0.22800000000000001</v>
      </c>
      <c r="AW65" s="40">
        <v>0.189</v>
      </c>
      <c r="AX65" s="40">
        <v>0.192</v>
      </c>
      <c r="AY65" s="40">
        <v>0.193</v>
      </c>
      <c r="AZ65" s="40">
        <v>0.20699999999999999</v>
      </c>
      <c r="BA65" s="40">
        <v>0.19700000000000001</v>
      </c>
      <c r="BB65" s="49">
        <v>0.1825</v>
      </c>
      <c r="BC65" s="40">
        <v>0.22800000000000001</v>
      </c>
      <c r="BD65" s="50">
        <v>0.28449999999999998</v>
      </c>
      <c r="BE65" s="50" t="s">
        <v>38</v>
      </c>
      <c r="BF65" s="58" t="s">
        <v>38</v>
      </c>
      <c r="BG65" s="40">
        <v>0.25850000000000001</v>
      </c>
      <c r="BH65" s="38">
        <v>0.27050000000000002</v>
      </c>
      <c r="BI65" s="38">
        <v>0.29449999999999998</v>
      </c>
      <c r="BJ65" s="38">
        <v>0.28049999999999997</v>
      </c>
      <c r="BK65" s="38">
        <v>0.27850000000000003</v>
      </c>
      <c r="BL65" s="38">
        <v>0.27500000000000002</v>
      </c>
      <c r="BM65" s="38">
        <v>0.30599999999999999</v>
      </c>
      <c r="BN65" s="39" t="s">
        <v>38</v>
      </c>
      <c r="BO65" s="40">
        <v>0.3085</v>
      </c>
      <c r="BP65" s="38">
        <v>0.28599999999999998</v>
      </c>
      <c r="BQ65" s="38">
        <v>0.22950000000000001</v>
      </c>
      <c r="BR65" s="41">
        <v>0.23349999999999999</v>
      </c>
      <c r="BS65" s="41">
        <v>0.22750000000000001</v>
      </c>
      <c r="BT65" s="41">
        <v>0.23399999999999999</v>
      </c>
      <c r="BU65" s="42">
        <v>0.22550000000000001</v>
      </c>
      <c r="BV65" s="41">
        <v>0.218</v>
      </c>
      <c r="BW65" s="42">
        <v>0.23399999999999999</v>
      </c>
      <c r="BX65" s="42" t="s">
        <v>38</v>
      </c>
      <c r="BY65" s="85">
        <f>(0.305+0.308)/2</f>
        <v>0.30649999999999999</v>
      </c>
      <c r="BZ65" s="85">
        <f>(0.411+0.434)/2</f>
        <v>0.42249999999999999</v>
      </c>
      <c r="CA65" s="91">
        <v>0.31950000000000001</v>
      </c>
    </row>
    <row r="66" spans="1:79">
      <c r="A66" s="64">
        <v>53</v>
      </c>
      <c r="B66" s="82">
        <v>254461.35652100001</v>
      </c>
      <c r="C66" s="82">
        <v>4505680.3409799999</v>
      </c>
      <c r="D66" s="78" t="s">
        <v>38</v>
      </c>
      <c r="E66" s="79" t="s">
        <v>38</v>
      </c>
      <c r="F66" s="78">
        <v>0.34499999999999997</v>
      </c>
      <c r="G66" s="79">
        <v>0.34250000000000003</v>
      </c>
      <c r="H66" s="78">
        <v>0.32550000000000001</v>
      </c>
      <c r="I66" s="78">
        <v>0.245</v>
      </c>
      <c r="J66" s="78">
        <v>0.22650000000000001</v>
      </c>
      <c r="K66" s="78">
        <v>0.1905</v>
      </c>
      <c r="L66" s="79" t="s">
        <v>38</v>
      </c>
      <c r="M66" s="79" t="s">
        <v>38</v>
      </c>
      <c r="N66" s="79" t="s">
        <v>38</v>
      </c>
      <c r="O66" s="79" t="s">
        <v>38</v>
      </c>
      <c r="P66" s="79" t="s">
        <v>38</v>
      </c>
      <c r="Q66" s="79" t="s">
        <v>38</v>
      </c>
      <c r="R66" s="79" t="s">
        <v>38</v>
      </c>
      <c r="S66" s="79" t="s">
        <v>38</v>
      </c>
      <c r="T66" s="79" t="s">
        <v>38</v>
      </c>
      <c r="U66" s="79" t="s">
        <v>38</v>
      </c>
      <c r="V66" s="79" t="s">
        <v>38</v>
      </c>
      <c r="W66" s="79" t="s">
        <v>38</v>
      </c>
      <c r="X66" s="79" t="s">
        <v>38</v>
      </c>
      <c r="Y66" s="79" t="s">
        <v>38</v>
      </c>
      <c r="Z66" s="79" t="s">
        <v>38</v>
      </c>
      <c r="AA66" s="79" t="s">
        <v>38</v>
      </c>
      <c r="AB66" s="79" t="s">
        <v>38</v>
      </c>
      <c r="AC66" s="79" t="s">
        <v>38</v>
      </c>
      <c r="AD66" s="79" t="s">
        <v>38</v>
      </c>
      <c r="AE66" s="79" t="s">
        <v>38</v>
      </c>
      <c r="AF66" s="79" t="s">
        <v>38</v>
      </c>
      <c r="AG66" s="79" t="s">
        <v>38</v>
      </c>
      <c r="AH66" s="79" t="s">
        <v>38</v>
      </c>
      <c r="AI66" s="79" t="s">
        <v>38</v>
      </c>
      <c r="AJ66" s="79" t="s">
        <v>38</v>
      </c>
      <c r="AK66" s="79" t="s">
        <v>38</v>
      </c>
      <c r="AL66" s="79" t="s">
        <v>38</v>
      </c>
      <c r="AM66" s="79" t="s">
        <v>38</v>
      </c>
      <c r="AN66" s="79" t="s">
        <v>38</v>
      </c>
      <c r="AO66" s="79" t="s">
        <v>38</v>
      </c>
      <c r="AP66" s="79" t="s">
        <v>38</v>
      </c>
      <c r="AQ66" s="79" t="s">
        <v>38</v>
      </c>
      <c r="AR66" s="79" t="s">
        <v>38</v>
      </c>
      <c r="AS66" s="79" t="s">
        <v>38</v>
      </c>
      <c r="AT66" s="79" t="s">
        <v>38</v>
      </c>
      <c r="AU66" s="79" t="s">
        <v>38</v>
      </c>
      <c r="AV66" s="79" t="s">
        <v>38</v>
      </c>
      <c r="AW66" s="79" t="s">
        <v>38</v>
      </c>
      <c r="AX66" s="79" t="s">
        <v>38</v>
      </c>
      <c r="AY66" s="79" t="s">
        <v>38</v>
      </c>
      <c r="AZ66" s="79" t="s">
        <v>38</v>
      </c>
      <c r="BA66" s="79" t="s">
        <v>38</v>
      </c>
      <c r="BB66" s="79" t="s">
        <v>38</v>
      </c>
      <c r="BC66" s="79" t="s">
        <v>38</v>
      </c>
      <c r="BD66" s="79" t="s">
        <v>38</v>
      </c>
      <c r="BE66" s="79" t="s">
        <v>38</v>
      </c>
      <c r="BF66" s="79" t="s">
        <v>38</v>
      </c>
      <c r="BG66" s="79" t="s">
        <v>38</v>
      </c>
      <c r="BH66" s="79" t="s">
        <v>38</v>
      </c>
      <c r="BI66" s="79" t="s">
        <v>38</v>
      </c>
      <c r="BJ66" s="79" t="s">
        <v>38</v>
      </c>
      <c r="BK66" s="79" t="s">
        <v>38</v>
      </c>
      <c r="BL66" s="79" t="s">
        <v>38</v>
      </c>
      <c r="BM66" s="79" t="s">
        <v>38</v>
      </c>
      <c r="BN66" s="79" t="s">
        <v>38</v>
      </c>
      <c r="BO66" s="79" t="s">
        <v>38</v>
      </c>
      <c r="BP66" s="79" t="s">
        <v>38</v>
      </c>
      <c r="BQ66" s="79" t="s">
        <v>38</v>
      </c>
      <c r="BR66" s="79" t="s">
        <v>38</v>
      </c>
      <c r="BS66" s="79" t="s">
        <v>38</v>
      </c>
      <c r="BT66" s="79" t="s">
        <v>38</v>
      </c>
      <c r="BU66" s="79" t="s">
        <v>38</v>
      </c>
      <c r="BV66" s="79" t="s">
        <v>38</v>
      </c>
      <c r="BW66" s="79" t="s">
        <v>38</v>
      </c>
      <c r="BX66" s="79" t="s">
        <v>38</v>
      </c>
      <c r="BY66" s="85">
        <f>(0.359+0.338)/2</f>
        <v>0.34850000000000003</v>
      </c>
      <c r="BZ66" s="85">
        <f>(0.459+0.456)/2</f>
        <v>0.45750000000000002</v>
      </c>
      <c r="CA66" s="91">
        <v>0.34050000000000002</v>
      </c>
    </row>
    <row r="67" spans="1:79">
      <c r="A67" s="64" t="s">
        <v>18</v>
      </c>
      <c r="B67" s="82">
        <v>254462.48352099999</v>
      </c>
      <c r="C67" s="82">
        <v>4505680.94594</v>
      </c>
      <c r="D67" s="65" t="s">
        <v>38</v>
      </c>
      <c r="E67" s="65" t="s">
        <v>38</v>
      </c>
      <c r="F67" s="65" t="s">
        <v>38</v>
      </c>
      <c r="G67" s="65" t="s">
        <v>38</v>
      </c>
      <c r="H67" s="65" t="s">
        <v>38</v>
      </c>
      <c r="I67" s="65" t="s">
        <v>38</v>
      </c>
      <c r="J67" s="65" t="s">
        <v>38</v>
      </c>
      <c r="K67" s="65" t="s">
        <v>38</v>
      </c>
      <c r="L67" s="65" t="s">
        <v>38</v>
      </c>
      <c r="M67" s="65" t="s">
        <v>38</v>
      </c>
      <c r="N67" s="65" t="s">
        <v>38</v>
      </c>
      <c r="O67" s="65" t="s">
        <v>38</v>
      </c>
      <c r="P67" s="65" t="s">
        <v>38</v>
      </c>
      <c r="Q67" s="65" t="s">
        <v>38</v>
      </c>
      <c r="R67" s="65" t="s">
        <v>38</v>
      </c>
      <c r="S67" s="65" t="s">
        <v>38</v>
      </c>
      <c r="T67" s="65" t="s">
        <v>38</v>
      </c>
      <c r="U67" s="65" t="s">
        <v>38</v>
      </c>
      <c r="V67" s="65" t="s">
        <v>38</v>
      </c>
      <c r="W67" s="65" t="s">
        <v>38</v>
      </c>
      <c r="X67" s="65" t="s">
        <v>38</v>
      </c>
      <c r="Y67" s="65" t="s">
        <v>38</v>
      </c>
      <c r="Z67" s="65" t="s">
        <v>38</v>
      </c>
      <c r="AA67" s="65" t="s">
        <v>38</v>
      </c>
      <c r="AB67" s="65" t="s">
        <v>38</v>
      </c>
      <c r="AC67" s="65" t="s">
        <v>38</v>
      </c>
      <c r="AD67" s="65" t="s">
        <v>38</v>
      </c>
      <c r="AE67" s="65" t="s">
        <v>38</v>
      </c>
      <c r="AF67" s="65" t="s">
        <v>38</v>
      </c>
      <c r="AG67" s="65" t="s">
        <v>38</v>
      </c>
      <c r="AH67" s="65" t="s">
        <v>38</v>
      </c>
      <c r="AI67" s="65" t="s">
        <v>38</v>
      </c>
      <c r="AJ67" s="65" t="s">
        <v>38</v>
      </c>
      <c r="AK67" s="65" t="s">
        <v>38</v>
      </c>
      <c r="AL67" s="65" t="s">
        <v>38</v>
      </c>
      <c r="AM67" s="65" t="s">
        <v>38</v>
      </c>
      <c r="AN67" s="65" t="s">
        <v>38</v>
      </c>
      <c r="AO67" s="65" t="s">
        <v>38</v>
      </c>
      <c r="AP67" s="65" t="s">
        <v>38</v>
      </c>
      <c r="AQ67" s="65" t="s">
        <v>38</v>
      </c>
      <c r="AR67" s="65" t="s">
        <v>38</v>
      </c>
      <c r="AS67" s="65" t="s">
        <v>38</v>
      </c>
      <c r="AT67" s="65" t="s">
        <v>38</v>
      </c>
      <c r="AU67" s="65" t="s">
        <v>38</v>
      </c>
      <c r="AV67" s="65" t="s">
        <v>38</v>
      </c>
      <c r="AW67" s="65" t="s">
        <v>38</v>
      </c>
      <c r="AX67" s="65" t="s">
        <v>38</v>
      </c>
      <c r="AY67" s="65" t="s">
        <v>38</v>
      </c>
      <c r="AZ67" s="65" t="s">
        <v>38</v>
      </c>
      <c r="BA67" s="65" t="s">
        <v>38</v>
      </c>
      <c r="BB67" s="65" t="s">
        <v>38</v>
      </c>
      <c r="BC67" s="65" t="s">
        <v>38</v>
      </c>
      <c r="BD67" s="65" t="s">
        <v>38</v>
      </c>
      <c r="BE67" s="65" t="s">
        <v>38</v>
      </c>
      <c r="BF67" s="65" t="s">
        <v>38</v>
      </c>
      <c r="BG67" s="65" t="s">
        <v>38</v>
      </c>
      <c r="BH67" s="65" t="s">
        <v>38</v>
      </c>
      <c r="BI67" s="65" t="s">
        <v>38</v>
      </c>
      <c r="BJ67" s="65" t="s">
        <v>38</v>
      </c>
      <c r="BK67" s="65" t="s">
        <v>38</v>
      </c>
      <c r="BL67" s="65" t="s">
        <v>38</v>
      </c>
      <c r="BM67" s="65" t="s">
        <v>38</v>
      </c>
      <c r="BN67" s="65" t="s">
        <v>38</v>
      </c>
      <c r="BO67" s="65" t="s">
        <v>38</v>
      </c>
      <c r="BP67" s="65" t="s">
        <v>38</v>
      </c>
      <c r="BQ67" s="65" t="s">
        <v>38</v>
      </c>
      <c r="BR67" s="65" t="s">
        <v>38</v>
      </c>
      <c r="BS67" s="65" t="s">
        <v>38</v>
      </c>
      <c r="BT67" s="65" t="s">
        <v>38</v>
      </c>
      <c r="BU67" s="65" t="s">
        <v>38</v>
      </c>
      <c r="BV67" s="65" t="s">
        <v>38</v>
      </c>
      <c r="BW67" s="65" t="s">
        <v>38</v>
      </c>
      <c r="BX67" s="65" t="s">
        <v>38</v>
      </c>
      <c r="BY67" s="85" t="s">
        <v>38</v>
      </c>
      <c r="BZ67" s="85" t="s">
        <v>38</v>
      </c>
      <c r="CA67" s="86" t="s">
        <v>38</v>
      </c>
    </row>
    <row r="68" spans="1:79">
      <c r="A68" s="64" t="s">
        <v>19</v>
      </c>
      <c r="B68" s="82">
        <v>254462.19347299999</v>
      </c>
      <c r="C68" s="82">
        <v>4505679.2486500004</v>
      </c>
      <c r="D68" s="65" t="s">
        <v>38</v>
      </c>
      <c r="E68" s="65" t="s">
        <v>38</v>
      </c>
      <c r="F68" s="65" t="s">
        <v>38</v>
      </c>
      <c r="G68" s="65" t="s">
        <v>38</v>
      </c>
      <c r="H68" s="65" t="s">
        <v>38</v>
      </c>
      <c r="I68" s="65" t="s">
        <v>38</v>
      </c>
      <c r="J68" s="65" t="s">
        <v>38</v>
      </c>
      <c r="K68" s="65" t="s">
        <v>38</v>
      </c>
      <c r="L68" s="65" t="s">
        <v>38</v>
      </c>
      <c r="M68" s="65" t="s">
        <v>38</v>
      </c>
      <c r="N68" s="65" t="s">
        <v>38</v>
      </c>
      <c r="O68" s="65" t="s">
        <v>38</v>
      </c>
      <c r="P68" s="65" t="s">
        <v>38</v>
      </c>
      <c r="Q68" s="65" t="s">
        <v>38</v>
      </c>
      <c r="R68" s="65" t="s">
        <v>38</v>
      </c>
      <c r="S68" s="65" t="s">
        <v>38</v>
      </c>
      <c r="T68" s="65" t="s">
        <v>38</v>
      </c>
      <c r="U68" s="65" t="s">
        <v>38</v>
      </c>
      <c r="V68" s="65" t="s">
        <v>38</v>
      </c>
      <c r="W68" s="65" t="s">
        <v>38</v>
      </c>
      <c r="X68" s="65" t="s">
        <v>38</v>
      </c>
      <c r="Y68" s="65" t="s">
        <v>38</v>
      </c>
      <c r="Z68" s="65" t="s">
        <v>38</v>
      </c>
      <c r="AA68" s="65" t="s">
        <v>38</v>
      </c>
      <c r="AB68" s="65" t="s">
        <v>38</v>
      </c>
      <c r="AC68" s="65" t="s">
        <v>38</v>
      </c>
      <c r="AD68" s="65" t="s">
        <v>38</v>
      </c>
      <c r="AE68" s="65" t="s">
        <v>38</v>
      </c>
      <c r="AF68" s="65" t="s">
        <v>38</v>
      </c>
      <c r="AG68" s="65" t="s">
        <v>38</v>
      </c>
      <c r="AH68" s="65" t="s">
        <v>38</v>
      </c>
      <c r="AI68" s="65" t="s">
        <v>38</v>
      </c>
      <c r="AJ68" s="65" t="s">
        <v>38</v>
      </c>
      <c r="AK68" s="65" t="s">
        <v>38</v>
      </c>
      <c r="AL68" s="65" t="s">
        <v>38</v>
      </c>
      <c r="AM68" s="65" t="s">
        <v>38</v>
      </c>
      <c r="AN68" s="65" t="s">
        <v>38</v>
      </c>
      <c r="AO68" s="65" t="s">
        <v>38</v>
      </c>
      <c r="AP68" s="65" t="s">
        <v>38</v>
      </c>
      <c r="AQ68" s="65" t="s">
        <v>38</v>
      </c>
      <c r="AR68" s="65" t="s">
        <v>38</v>
      </c>
      <c r="AS68" s="65" t="s">
        <v>38</v>
      </c>
      <c r="AT68" s="65" t="s">
        <v>38</v>
      </c>
      <c r="AU68" s="65" t="s">
        <v>38</v>
      </c>
      <c r="AV68" s="65" t="s">
        <v>38</v>
      </c>
      <c r="AW68" s="65" t="s">
        <v>38</v>
      </c>
      <c r="AX68" s="65" t="s">
        <v>38</v>
      </c>
      <c r="AY68" s="65" t="s">
        <v>38</v>
      </c>
      <c r="AZ68" s="65" t="s">
        <v>38</v>
      </c>
      <c r="BA68" s="65" t="s">
        <v>38</v>
      </c>
      <c r="BB68" s="65" t="s">
        <v>38</v>
      </c>
      <c r="BC68" s="65" t="s">
        <v>38</v>
      </c>
      <c r="BD68" s="65" t="s">
        <v>38</v>
      </c>
      <c r="BE68" s="65" t="s">
        <v>38</v>
      </c>
      <c r="BF68" s="65" t="s">
        <v>38</v>
      </c>
      <c r="BG68" s="65" t="s">
        <v>38</v>
      </c>
      <c r="BH68" s="65" t="s">
        <v>38</v>
      </c>
      <c r="BI68" s="65" t="s">
        <v>38</v>
      </c>
      <c r="BJ68" s="65" t="s">
        <v>38</v>
      </c>
      <c r="BK68" s="65" t="s">
        <v>38</v>
      </c>
      <c r="BL68" s="65" t="s">
        <v>38</v>
      </c>
      <c r="BM68" s="65" t="s">
        <v>38</v>
      </c>
      <c r="BN68" s="65" t="s">
        <v>38</v>
      </c>
      <c r="BO68" s="65" t="s">
        <v>38</v>
      </c>
      <c r="BP68" s="65" t="s">
        <v>38</v>
      </c>
      <c r="BQ68" s="65" t="s">
        <v>38</v>
      </c>
      <c r="BR68" s="65" t="s">
        <v>38</v>
      </c>
      <c r="BS68" s="65" t="s">
        <v>38</v>
      </c>
      <c r="BT68" s="65" t="s">
        <v>38</v>
      </c>
      <c r="BU68" s="65" t="s">
        <v>38</v>
      </c>
      <c r="BV68" s="65" t="s">
        <v>38</v>
      </c>
      <c r="BW68" s="65" t="s">
        <v>38</v>
      </c>
      <c r="BX68" s="65" t="s">
        <v>38</v>
      </c>
      <c r="BY68" s="85" t="s">
        <v>38</v>
      </c>
      <c r="BZ68" s="85" t="s">
        <v>38</v>
      </c>
      <c r="CA68" s="86" t="s">
        <v>38</v>
      </c>
    </row>
    <row r="69" spans="1:79">
      <c r="A69" s="64" t="s">
        <v>20</v>
      </c>
      <c r="B69" s="82">
        <v>254460.18427299999</v>
      </c>
      <c r="C69" s="82">
        <v>4505679.29464</v>
      </c>
      <c r="D69" s="65" t="s">
        <v>38</v>
      </c>
      <c r="E69" s="65" t="s">
        <v>38</v>
      </c>
      <c r="F69" s="65" t="s">
        <v>38</v>
      </c>
      <c r="G69" s="65" t="s">
        <v>38</v>
      </c>
      <c r="H69" s="65" t="s">
        <v>38</v>
      </c>
      <c r="I69" s="65" t="s">
        <v>38</v>
      </c>
      <c r="J69" s="65" t="s">
        <v>38</v>
      </c>
      <c r="K69" s="65" t="s">
        <v>38</v>
      </c>
      <c r="L69" s="65" t="s">
        <v>38</v>
      </c>
      <c r="M69" s="65" t="s">
        <v>38</v>
      </c>
      <c r="N69" s="65" t="s">
        <v>38</v>
      </c>
      <c r="O69" s="65" t="s">
        <v>38</v>
      </c>
      <c r="P69" s="65" t="s">
        <v>38</v>
      </c>
      <c r="Q69" s="65" t="s">
        <v>38</v>
      </c>
      <c r="R69" s="65" t="s">
        <v>38</v>
      </c>
      <c r="S69" s="65" t="s">
        <v>38</v>
      </c>
      <c r="T69" s="65" t="s">
        <v>38</v>
      </c>
      <c r="U69" s="65" t="s">
        <v>38</v>
      </c>
      <c r="V69" s="65" t="s">
        <v>38</v>
      </c>
      <c r="W69" s="65" t="s">
        <v>38</v>
      </c>
      <c r="X69" s="65" t="s">
        <v>38</v>
      </c>
      <c r="Y69" s="65" t="s">
        <v>38</v>
      </c>
      <c r="Z69" s="65" t="s">
        <v>38</v>
      </c>
      <c r="AA69" s="65" t="s">
        <v>38</v>
      </c>
      <c r="AB69" s="65" t="s">
        <v>38</v>
      </c>
      <c r="AC69" s="65" t="s">
        <v>38</v>
      </c>
      <c r="AD69" s="65" t="s">
        <v>38</v>
      </c>
      <c r="AE69" s="65" t="s">
        <v>38</v>
      </c>
      <c r="AF69" s="65" t="s">
        <v>38</v>
      </c>
      <c r="AG69" s="65" t="s">
        <v>38</v>
      </c>
      <c r="AH69" s="65" t="s">
        <v>38</v>
      </c>
      <c r="AI69" s="65" t="s">
        <v>38</v>
      </c>
      <c r="AJ69" s="65" t="s">
        <v>38</v>
      </c>
      <c r="AK69" s="65" t="s">
        <v>38</v>
      </c>
      <c r="AL69" s="65" t="s">
        <v>38</v>
      </c>
      <c r="AM69" s="65" t="s">
        <v>38</v>
      </c>
      <c r="AN69" s="65" t="s">
        <v>38</v>
      </c>
      <c r="AO69" s="65" t="s">
        <v>38</v>
      </c>
      <c r="AP69" s="65" t="s">
        <v>38</v>
      </c>
      <c r="AQ69" s="65" t="s">
        <v>38</v>
      </c>
      <c r="AR69" s="65" t="s">
        <v>38</v>
      </c>
      <c r="AS69" s="65" t="s">
        <v>38</v>
      </c>
      <c r="AT69" s="65" t="s">
        <v>38</v>
      </c>
      <c r="AU69" s="65" t="s">
        <v>38</v>
      </c>
      <c r="AV69" s="65" t="s">
        <v>38</v>
      </c>
      <c r="AW69" s="65" t="s">
        <v>38</v>
      </c>
      <c r="AX69" s="65" t="s">
        <v>38</v>
      </c>
      <c r="AY69" s="65" t="s">
        <v>38</v>
      </c>
      <c r="AZ69" s="65" t="s">
        <v>38</v>
      </c>
      <c r="BA69" s="65" t="s">
        <v>38</v>
      </c>
      <c r="BB69" s="65" t="s">
        <v>38</v>
      </c>
      <c r="BC69" s="65" t="s">
        <v>38</v>
      </c>
      <c r="BD69" s="65" t="s">
        <v>38</v>
      </c>
      <c r="BE69" s="65" t="s">
        <v>38</v>
      </c>
      <c r="BF69" s="65" t="s">
        <v>38</v>
      </c>
      <c r="BG69" s="65" t="s">
        <v>38</v>
      </c>
      <c r="BH69" s="65" t="s">
        <v>38</v>
      </c>
      <c r="BI69" s="65" t="s">
        <v>38</v>
      </c>
      <c r="BJ69" s="65" t="s">
        <v>38</v>
      </c>
      <c r="BK69" s="65" t="s">
        <v>38</v>
      </c>
      <c r="BL69" s="65" t="s">
        <v>38</v>
      </c>
      <c r="BM69" s="65" t="s">
        <v>38</v>
      </c>
      <c r="BN69" s="65" t="s">
        <v>38</v>
      </c>
      <c r="BO69" s="65" t="s">
        <v>38</v>
      </c>
      <c r="BP69" s="65" t="s">
        <v>38</v>
      </c>
      <c r="BQ69" s="65" t="s">
        <v>38</v>
      </c>
      <c r="BR69" s="65" t="s">
        <v>38</v>
      </c>
      <c r="BS69" s="65" t="s">
        <v>38</v>
      </c>
      <c r="BT69" s="65" t="s">
        <v>38</v>
      </c>
      <c r="BU69" s="65" t="s">
        <v>38</v>
      </c>
      <c r="BV69" s="65" t="s">
        <v>38</v>
      </c>
      <c r="BW69" s="65" t="s">
        <v>38</v>
      </c>
      <c r="BX69" s="65" t="s">
        <v>38</v>
      </c>
      <c r="BY69" s="85" t="s">
        <v>38</v>
      </c>
      <c r="BZ69" s="85">
        <f>(0.381+0.374)/2</f>
        <v>0.3775</v>
      </c>
      <c r="CA69" s="86">
        <v>0.29549999999999998</v>
      </c>
    </row>
    <row r="70" spans="1:79">
      <c r="A70" s="64" t="s">
        <v>21</v>
      </c>
      <c r="B70" s="82">
        <v>254460.43630199999</v>
      </c>
      <c r="C70" s="82">
        <v>4505681.1553699998</v>
      </c>
      <c r="D70" s="65" t="s">
        <v>38</v>
      </c>
      <c r="E70" s="65" t="s">
        <v>38</v>
      </c>
      <c r="F70" s="65" t="s">
        <v>38</v>
      </c>
      <c r="G70" s="65" t="s">
        <v>38</v>
      </c>
      <c r="H70" s="65" t="s">
        <v>38</v>
      </c>
      <c r="I70" s="65" t="s">
        <v>38</v>
      </c>
      <c r="J70" s="65" t="s">
        <v>38</v>
      </c>
      <c r="K70" s="65" t="s">
        <v>38</v>
      </c>
      <c r="L70" s="65" t="s">
        <v>38</v>
      </c>
      <c r="M70" s="65" t="s">
        <v>38</v>
      </c>
      <c r="N70" s="65" t="s">
        <v>38</v>
      </c>
      <c r="O70" s="65" t="s">
        <v>38</v>
      </c>
      <c r="P70" s="65" t="s">
        <v>38</v>
      </c>
      <c r="Q70" s="65" t="s">
        <v>38</v>
      </c>
      <c r="R70" s="65" t="s">
        <v>38</v>
      </c>
      <c r="S70" s="65" t="s">
        <v>38</v>
      </c>
      <c r="T70" s="65" t="s">
        <v>38</v>
      </c>
      <c r="U70" s="65" t="s">
        <v>38</v>
      </c>
      <c r="V70" s="65" t="s">
        <v>38</v>
      </c>
      <c r="W70" s="65" t="s">
        <v>38</v>
      </c>
      <c r="X70" s="65" t="s">
        <v>38</v>
      </c>
      <c r="Y70" s="65" t="s">
        <v>38</v>
      </c>
      <c r="Z70" s="65" t="s">
        <v>38</v>
      </c>
      <c r="AA70" s="65" t="s">
        <v>38</v>
      </c>
      <c r="AB70" s="65" t="s">
        <v>38</v>
      </c>
      <c r="AC70" s="65" t="s">
        <v>38</v>
      </c>
      <c r="AD70" s="65" t="s">
        <v>38</v>
      </c>
      <c r="AE70" s="65" t="s">
        <v>38</v>
      </c>
      <c r="AF70" s="65" t="s">
        <v>38</v>
      </c>
      <c r="AG70" s="65" t="s">
        <v>38</v>
      </c>
      <c r="AH70" s="65" t="s">
        <v>38</v>
      </c>
      <c r="AI70" s="65" t="s">
        <v>38</v>
      </c>
      <c r="AJ70" s="65" t="s">
        <v>38</v>
      </c>
      <c r="AK70" s="65" t="s">
        <v>38</v>
      </c>
      <c r="AL70" s="65" t="s">
        <v>38</v>
      </c>
      <c r="AM70" s="65" t="s">
        <v>38</v>
      </c>
      <c r="AN70" s="65" t="s">
        <v>38</v>
      </c>
      <c r="AO70" s="65" t="s">
        <v>38</v>
      </c>
      <c r="AP70" s="65" t="s">
        <v>38</v>
      </c>
      <c r="AQ70" s="65" t="s">
        <v>38</v>
      </c>
      <c r="AR70" s="65" t="s">
        <v>38</v>
      </c>
      <c r="AS70" s="65" t="s">
        <v>38</v>
      </c>
      <c r="AT70" s="65" t="s">
        <v>38</v>
      </c>
      <c r="AU70" s="65" t="s">
        <v>38</v>
      </c>
      <c r="AV70" s="65" t="s">
        <v>38</v>
      </c>
      <c r="AW70" s="65" t="s">
        <v>38</v>
      </c>
      <c r="AX70" s="65" t="s">
        <v>38</v>
      </c>
      <c r="AY70" s="65" t="s">
        <v>38</v>
      </c>
      <c r="AZ70" s="65" t="s">
        <v>38</v>
      </c>
      <c r="BA70" s="65" t="s">
        <v>38</v>
      </c>
      <c r="BB70" s="65" t="s">
        <v>38</v>
      </c>
      <c r="BC70" s="65" t="s">
        <v>38</v>
      </c>
      <c r="BD70" s="65" t="s">
        <v>38</v>
      </c>
      <c r="BE70" s="65" t="s">
        <v>38</v>
      </c>
      <c r="BF70" s="65" t="s">
        <v>38</v>
      </c>
      <c r="BG70" s="65" t="s">
        <v>38</v>
      </c>
      <c r="BH70" s="65" t="s">
        <v>38</v>
      </c>
      <c r="BI70" s="65" t="s">
        <v>38</v>
      </c>
      <c r="BJ70" s="65" t="s">
        <v>38</v>
      </c>
      <c r="BK70" s="65" t="s">
        <v>38</v>
      </c>
      <c r="BL70" s="65" t="s">
        <v>38</v>
      </c>
      <c r="BM70" s="65" t="s">
        <v>38</v>
      </c>
      <c r="BN70" s="65" t="s">
        <v>38</v>
      </c>
      <c r="BO70" s="65" t="s">
        <v>38</v>
      </c>
      <c r="BP70" s="65" t="s">
        <v>38</v>
      </c>
      <c r="BQ70" s="65" t="s">
        <v>38</v>
      </c>
      <c r="BR70" s="65" t="s">
        <v>38</v>
      </c>
      <c r="BS70" s="65" t="s">
        <v>38</v>
      </c>
      <c r="BT70" s="65" t="s">
        <v>38</v>
      </c>
      <c r="BU70" s="65" t="s">
        <v>38</v>
      </c>
      <c r="BV70" s="65" t="s">
        <v>38</v>
      </c>
      <c r="BW70" s="65" t="s">
        <v>38</v>
      </c>
      <c r="BX70" s="65" t="s">
        <v>38</v>
      </c>
      <c r="BY70" s="85" t="s">
        <v>38</v>
      </c>
      <c r="BZ70" s="85">
        <f>(0.426+0.422)/2</f>
        <v>0.42399999999999999</v>
      </c>
      <c r="CA70" s="86">
        <v>0.315</v>
      </c>
    </row>
    <row r="71" spans="1:79">
      <c r="A71" s="64">
        <v>54</v>
      </c>
      <c r="B71" s="82">
        <v>254459.10776799999</v>
      </c>
      <c r="C71" s="82">
        <v>4505704.5320499996</v>
      </c>
      <c r="D71" s="78" t="s">
        <v>38</v>
      </c>
      <c r="E71" s="79" t="s">
        <v>38</v>
      </c>
      <c r="F71" s="79" t="s">
        <v>38</v>
      </c>
      <c r="G71" s="79" t="s">
        <v>38</v>
      </c>
      <c r="H71" s="79" t="s">
        <v>38</v>
      </c>
      <c r="I71" s="79" t="s">
        <v>38</v>
      </c>
      <c r="J71" s="79" t="s">
        <v>38</v>
      </c>
      <c r="K71" s="79" t="s">
        <v>38</v>
      </c>
      <c r="L71" s="79" t="s">
        <v>38</v>
      </c>
      <c r="M71" s="79" t="s">
        <v>38</v>
      </c>
      <c r="N71" s="65" t="s">
        <v>38</v>
      </c>
      <c r="O71" s="65" t="s">
        <v>38</v>
      </c>
      <c r="P71" s="65" t="s">
        <v>38</v>
      </c>
      <c r="Q71" s="65" t="s">
        <v>38</v>
      </c>
      <c r="R71" s="65" t="s">
        <v>38</v>
      </c>
      <c r="S71" s="65" t="s">
        <v>38</v>
      </c>
      <c r="T71" s="65" t="s">
        <v>38</v>
      </c>
      <c r="U71" s="65" t="s">
        <v>38</v>
      </c>
      <c r="V71" s="65" t="s">
        <v>38</v>
      </c>
      <c r="W71" s="65" t="s">
        <v>38</v>
      </c>
      <c r="X71" s="65" t="s">
        <v>38</v>
      </c>
      <c r="Y71" s="65" t="s">
        <v>38</v>
      </c>
      <c r="Z71" s="65" t="s">
        <v>38</v>
      </c>
      <c r="AA71" s="65" t="s">
        <v>38</v>
      </c>
      <c r="AB71" s="65" t="s">
        <v>38</v>
      </c>
      <c r="AC71" s="65" t="s">
        <v>38</v>
      </c>
      <c r="AD71" s="65" t="s">
        <v>38</v>
      </c>
      <c r="AE71" s="65" t="s">
        <v>38</v>
      </c>
      <c r="AF71" s="65" t="s">
        <v>38</v>
      </c>
      <c r="AG71" s="65" t="s">
        <v>38</v>
      </c>
      <c r="AH71" s="65" t="s">
        <v>38</v>
      </c>
      <c r="AI71" s="65" t="s">
        <v>38</v>
      </c>
      <c r="AJ71" s="65" t="s">
        <v>38</v>
      </c>
      <c r="AK71" s="65" t="s">
        <v>38</v>
      </c>
      <c r="AL71" s="65" t="s">
        <v>38</v>
      </c>
      <c r="AM71" s="65" t="s">
        <v>38</v>
      </c>
      <c r="AN71" s="65" t="s">
        <v>38</v>
      </c>
      <c r="AO71" s="65" t="s">
        <v>38</v>
      </c>
      <c r="AP71" s="65" t="s">
        <v>38</v>
      </c>
      <c r="AQ71" s="65" t="s">
        <v>38</v>
      </c>
      <c r="AR71" s="65" t="s">
        <v>38</v>
      </c>
      <c r="AS71" s="65" t="s">
        <v>38</v>
      </c>
      <c r="AT71" s="65" t="s">
        <v>38</v>
      </c>
      <c r="AU71" s="65" t="s">
        <v>38</v>
      </c>
      <c r="AV71" s="65" t="s">
        <v>38</v>
      </c>
      <c r="AW71" s="65" t="s">
        <v>38</v>
      </c>
      <c r="AX71" s="65" t="s">
        <v>38</v>
      </c>
      <c r="AY71" s="65" t="s">
        <v>38</v>
      </c>
      <c r="AZ71" s="65" t="s">
        <v>38</v>
      </c>
      <c r="BA71" s="65" t="s">
        <v>38</v>
      </c>
      <c r="BB71" s="65" t="s">
        <v>38</v>
      </c>
      <c r="BC71" s="65" t="s">
        <v>38</v>
      </c>
      <c r="BD71" s="65" t="s">
        <v>38</v>
      </c>
      <c r="BE71" s="65" t="s">
        <v>38</v>
      </c>
      <c r="BF71" s="65" t="s">
        <v>38</v>
      </c>
      <c r="BG71" s="65" t="s">
        <v>38</v>
      </c>
      <c r="BH71" s="65" t="s">
        <v>38</v>
      </c>
      <c r="BI71" s="65" t="s">
        <v>38</v>
      </c>
      <c r="BJ71" s="65" t="s">
        <v>38</v>
      </c>
      <c r="BK71" s="65" t="s">
        <v>38</v>
      </c>
      <c r="BL71" s="65" t="s">
        <v>38</v>
      </c>
      <c r="BM71" s="65" t="s">
        <v>38</v>
      </c>
      <c r="BN71" s="65" t="s">
        <v>38</v>
      </c>
      <c r="BO71" s="65" t="s">
        <v>38</v>
      </c>
      <c r="BP71" s="65" t="s">
        <v>38</v>
      </c>
      <c r="BQ71" s="65" t="s">
        <v>38</v>
      </c>
      <c r="BR71" s="65" t="s">
        <v>38</v>
      </c>
      <c r="BS71" s="65" t="s">
        <v>38</v>
      </c>
      <c r="BT71" s="65" t="s">
        <v>38</v>
      </c>
      <c r="BU71" s="65" t="s">
        <v>38</v>
      </c>
      <c r="BV71" s="65" t="s">
        <v>38</v>
      </c>
      <c r="BW71" s="65" t="s">
        <v>38</v>
      </c>
      <c r="BX71" s="65" t="s">
        <v>38</v>
      </c>
      <c r="BY71" s="85" t="s">
        <v>38</v>
      </c>
      <c r="BZ71" s="79" t="s">
        <v>38</v>
      </c>
      <c r="CA71" s="90" t="s">
        <v>38</v>
      </c>
    </row>
    <row r="72" spans="1:79">
      <c r="A72" s="64">
        <v>55</v>
      </c>
      <c r="B72" s="82">
        <v>254464.43786400001</v>
      </c>
      <c r="C72" s="82">
        <v>4505623.9690100001</v>
      </c>
      <c r="D72" s="78">
        <v>0.29049999999999998</v>
      </c>
      <c r="E72" s="78">
        <v>0.28499999999999998</v>
      </c>
      <c r="F72" s="79">
        <v>0.30199999999999999</v>
      </c>
      <c r="G72" s="79">
        <v>0.29599999999999999</v>
      </c>
      <c r="H72" s="79">
        <v>0.29449999999999998</v>
      </c>
      <c r="I72" s="79">
        <v>0.23149999999999998</v>
      </c>
      <c r="J72" s="79">
        <v>0.222</v>
      </c>
      <c r="K72" s="79">
        <v>0.19400000000000001</v>
      </c>
      <c r="L72" s="79" t="s">
        <v>38</v>
      </c>
      <c r="M72" s="79" t="s">
        <v>38</v>
      </c>
      <c r="N72" s="65" t="s">
        <v>38</v>
      </c>
      <c r="O72" s="65" t="s">
        <v>38</v>
      </c>
      <c r="P72" s="65" t="s">
        <v>38</v>
      </c>
      <c r="Q72" s="65" t="s">
        <v>38</v>
      </c>
      <c r="R72" s="65" t="s">
        <v>38</v>
      </c>
      <c r="S72" s="65" t="s">
        <v>38</v>
      </c>
      <c r="T72" s="40">
        <v>0.315</v>
      </c>
      <c r="U72" s="40">
        <v>0.29899999999999999</v>
      </c>
      <c r="V72" s="65" t="s">
        <v>38</v>
      </c>
      <c r="W72" s="40">
        <v>0.35899999999999999</v>
      </c>
      <c r="X72" s="40">
        <v>0.32100000000000001</v>
      </c>
      <c r="Y72" s="40">
        <v>0.31900000000000001</v>
      </c>
      <c r="Z72" s="40">
        <v>0.318</v>
      </c>
      <c r="AA72" s="40">
        <v>0.308</v>
      </c>
      <c r="AB72" s="40">
        <v>0.33400000000000002</v>
      </c>
      <c r="AC72" s="40">
        <v>0.32700000000000001</v>
      </c>
      <c r="AD72" s="40">
        <v>0.32200000000000001</v>
      </c>
      <c r="AE72" s="40">
        <v>0.28100000000000003</v>
      </c>
      <c r="AF72" s="40">
        <v>0.23899999999999999</v>
      </c>
      <c r="AG72" s="40">
        <v>0.24399999999999999</v>
      </c>
      <c r="AH72" s="40">
        <v>0.23300000000000001</v>
      </c>
      <c r="AI72" s="40">
        <v>0.22</v>
      </c>
      <c r="AJ72" s="40">
        <v>0.222</v>
      </c>
      <c r="AK72" s="40">
        <v>0.23300000000000001</v>
      </c>
      <c r="AL72" s="40" t="s">
        <v>38</v>
      </c>
      <c r="AM72" s="40">
        <v>0.22500000000000001</v>
      </c>
      <c r="AN72" s="40">
        <v>0.25</v>
      </c>
      <c r="AO72" s="40">
        <v>0.215</v>
      </c>
      <c r="AP72" s="40">
        <v>0.26300000000000001</v>
      </c>
      <c r="AQ72" s="40">
        <v>0.254</v>
      </c>
      <c r="AR72" s="40">
        <v>0.248</v>
      </c>
      <c r="AS72" s="40">
        <v>0.219</v>
      </c>
      <c r="AT72" s="40">
        <v>0.23400000000000001</v>
      </c>
      <c r="AU72" s="40">
        <v>0.246</v>
      </c>
      <c r="AV72" s="40">
        <v>0.23300000000000001</v>
      </c>
      <c r="AW72" s="40">
        <v>0.19800000000000001</v>
      </c>
      <c r="AX72" s="40">
        <v>0.20200000000000001</v>
      </c>
      <c r="AY72" s="40">
        <v>0.191</v>
      </c>
      <c r="AZ72" s="40">
        <v>0.186</v>
      </c>
      <c r="BA72" s="40">
        <v>0.188</v>
      </c>
      <c r="BB72" s="49">
        <v>0.14399999999999999</v>
      </c>
      <c r="BC72" s="40">
        <v>0.156</v>
      </c>
      <c r="BD72" s="50">
        <v>0.22500000000000001</v>
      </c>
      <c r="BE72" s="50">
        <v>0.21099999999999999</v>
      </c>
      <c r="BF72" s="58">
        <v>0.1515</v>
      </c>
      <c r="BG72" s="40">
        <v>0.20649999999999999</v>
      </c>
      <c r="BH72" s="38">
        <v>0.26350000000000001</v>
      </c>
      <c r="BI72" s="38">
        <v>0.28399999999999997</v>
      </c>
      <c r="BJ72" s="38">
        <v>0.28549999999999998</v>
      </c>
      <c r="BK72" s="38">
        <v>0.27550000000000002</v>
      </c>
      <c r="BL72" s="38">
        <v>0.27300000000000002</v>
      </c>
      <c r="BM72" s="38">
        <v>0.28200000000000003</v>
      </c>
      <c r="BN72" s="65" t="s">
        <v>38</v>
      </c>
      <c r="BO72" s="40">
        <v>0.28999999999999998</v>
      </c>
      <c r="BP72" s="38">
        <v>0.27550000000000002</v>
      </c>
      <c r="BQ72" s="38">
        <v>0.20499999999999999</v>
      </c>
      <c r="BR72" s="41">
        <v>0.20699999999999999</v>
      </c>
      <c r="BS72" s="41">
        <v>0.21249999999999999</v>
      </c>
      <c r="BT72" s="41">
        <v>0.2135</v>
      </c>
      <c r="BU72" s="42">
        <v>0.20050000000000001</v>
      </c>
      <c r="BV72" s="41">
        <v>0.2</v>
      </c>
      <c r="BW72" s="65" t="s">
        <v>38</v>
      </c>
      <c r="BX72" s="65" t="s">
        <v>38</v>
      </c>
      <c r="BY72" s="85">
        <f>(0.269+0.267)/2</f>
        <v>0.26800000000000002</v>
      </c>
      <c r="BZ72" s="85">
        <f>(0.408+0.399)/2</f>
        <v>0.40349999999999997</v>
      </c>
      <c r="CA72" s="90">
        <v>0.30399999999999999</v>
      </c>
    </row>
    <row r="73" spans="1:79">
      <c r="A73" s="64" t="s">
        <v>22</v>
      </c>
      <c r="B73" s="82">
        <v>254465.50736700001</v>
      </c>
      <c r="C73" s="82">
        <v>4505625.0454799999</v>
      </c>
      <c r="D73" s="78" t="s">
        <v>38</v>
      </c>
      <c r="E73" s="79" t="s">
        <v>38</v>
      </c>
      <c r="F73" s="79" t="s">
        <v>38</v>
      </c>
      <c r="G73" s="79" t="s">
        <v>38</v>
      </c>
      <c r="H73" s="79" t="s">
        <v>38</v>
      </c>
      <c r="I73" s="79" t="s">
        <v>38</v>
      </c>
      <c r="J73" s="79" t="s">
        <v>38</v>
      </c>
      <c r="K73" s="79" t="s">
        <v>38</v>
      </c>
      <c r="L73" s="79">
        <v>0.1555</v>
      </c>
      <c r="M73" s="79">
        <v>0.14599999999999999</v>
      </c>
      <c r="N73" s="65" t="s">
        <v>38</v>
      </c>
      <c r="O73" s="65" t="s">
        <v>38</v>
      </c>
      <c r="P73" s="67">
        <v>0.14649999999999999</v>
      </c>
      <c r="Q73" s="65" t="s">
        <v>38</v>
      </c>
      <c r="R73" s="65" t="s">
        <v>38</v>
      </c>
      <c r="S73" s="65" t="s">
        <v>38</v>
      </c>
      <c r="T73" s="40">
        <v>0.27</v>
      </c>
      <c r="U73" s="40">
        <v>0.25700000000000001</v>
      </c>
      <c r="V73" s="65" t="s">
        <v>38</v>
      </c>
      <c r="W73" s="40">
        <v>0.28000000000000003</v>
      </c>
      <c r="X73" s="40">
        <v>0.28199999999999997</v>
      </c>
      <c r="Y73" s="40" t="s">
        <v>38</v>
      </c>
      <c r="Z73" s="40">
        <v>0.27300000000000002</v>
      </c>
      <c r="AA73" s="40">
        <v>0.27900000000000003</v>
      </c>
      <c r="AB73" s="40" t="s">
        <v>38</v>
      </c>
      <c r="AC73" s="40">
        <v>0.28999999999999998</v>
      </c>
      <c r="AD73" s="40">
        <v>0.27400000000000002</v>
      </c>
      <c r="AE73" s="40" t="s">
        <v>38</v>
      </c>
      <c r="AF73" s="40" t="s">
        <v>38</v>
      </c>
      <c r="AG73" s="40" t="s">
        <v>38</v>
      </c>
      <c r="AH73" s="40">
        <v>0.186</v>
      </c>
      <c r="AI73" s="40" t="s">
        <v>38</v>
      </c>
      <c r="AJ73" s="40" t="s">
        <v>38</v>
      </c>
      <c r="AK73" s="40" t="s">
        <v>38</v>
      </c>
      <c r="AL73" s="40">
        <v>0.20599999999999999</v>
      </c>
      <c r="AM73" s="40" t="s">
        <v>38</v>
      </c>
      <c r="AN73" s="40">
        <v>0.245</v>
      </c>
      <c r="AO73" s="40">
        <v>0.2</v>
      </c>
      <c r="AP73" s="40" t="s">
        <v>38</v>
      </c>
      <c r="AQ73" s="40">
        <v>0.21199999999999999</v>
      </c>
      <c r="AR73" s="40" t="s">
        <v>38</v>
      </c>
      <c r="AS73" s="40" t="s">
        <v>38</v>
      </c>
      <c r="AT73" s="40" t="s">
        <v>38</v>
      </c>
      <c r="AU73" s="40" t="s">
        <v>38</v>
      </c>
      <c r="AV73" s="40" t="s">
        <v>38</v>
      </c>
      <c r="AW73" s="40" t="s">
        <v>38</v>
      </c>
      <c r="AX73" s="40" t="s">
        <v>38</v>
      </c>
      <c r="AY73" s="40">
        <v>0.188</v>
      </c>
      <c r="AZ73" s="40">
        <v>0.19400000000000001</v>
      </c>
      <c r="BA73" s="40">
        <v>0.20699999999999999</v>
      </c>
      <c r="BB73" s="49" t="s">
        <v>38</v>
      </c>
      <c r="BC73" s="40" t="s">
        <v>38</v>
      </c>
      <c r="BD73" s="50">
        <v>0.223</v>
      </c>
      <c r="BE73" s="50">
        <v>0.221</v>
      </c>
      <c r="BF73" s="58">
        <v>0.155</v>
      </c>
      <c r="BG73" s="40">
        <v>0.252</v>
      </c>
      <c r="BH73" s="38" t="s">
        <v>38</v>
      </c>
      <c r="BI73" s="38" t="s">
        <v>38</v>
      </c>
      <c r="BJ73" s="38" t="s">
        <v>38</v>
      </c>
      <c r="BK73" s="38" t="s">
        <v>38</v>
      </c>
      <c r="BL73" s="38" t="s">
        <v>38</v>
      </c>
      <c r="BM73" s="38" t="s">
        <v>38</v>
      </c>
      <c r="BN73" s="38" t="s">
        <v>38</v>
      </c>
      <c r="BO73" s="38" t="s">
        <v>38</v>
      </c>
      <c r="BP73" s="38" t="s">
        <v>38</v>
      </c>
      <c r="BQ73" s="38" t="s">
        <v>38</v>
      </c>
      <c r="BR73" s="38" t="s">
        <v>38</v>
      </c>
      <c r="BS73" s="41">
        <v>0.186</v>
      </c>
      <c r="BT73" s="41">
        <v>0.1835</v>
      </c>
      <c r="BU73" s="42" t="s">
        <v>38</v>
      </c>
      <c r="BV73" s="41" t="s">
        <v>38</v>
      </c>
      <c r="BW73" s="42">
        <v>0.1855</v>
      </c>
      <c r="BX73" s="42" t="s">
        <v>38</v>
      </c>
      <c r="BY73" s="85" t="s">
        <v>38</v>
      </c>
      <c r="BZ73" s="85" t="s">
        <v>38</v>
      </c>
      <c r="CA73" s="90" t="s">
        <v>38</v>
      </c>
    </row>
    <row r="74" spans="1:79">
      <c r="A74" s="64" t="s">
        <v>23</v>
      </c>
      <c r="B74" s="82">
        <v>254465.36725000001</v>
      </c>
      <c r="C74" s="82">
        <v>4505622.9550599996</v>
      </c>
      <c r="D74" s="78" t="s">
        <v>38</v>
      </c>
      <c r="E74" s="79" t="s">
        <v>38</v>
      </c>
      <c r="F74" s="79" t="s">
        <v>38</v>
      </c>
      <c r="G74" s="79" t="s">
        <v>38</v>
      </c>
      <c r="H74" s="79" t="s">
        <v>38</v>
      </c>
      <c r="I74" s="79">
        <v>0.24349999999999999</v>
      </c>
      <c r="J74" s="79">
        <v>0.23199999999999998</v>
      </c>
      <c r="K74" s="79">
        <v>0.19500000000000001</v>
      </c>
      <c r="L74" s="79" t="s">
        <v>38</v>
      </c>
      <c r="M74" s="79">
        <v>0.191</v>
      </c>
      <c r="N74" s="67">
        <v>0.18049999999999999</v>
      </c>
      <c r="O74" s="67">
        <v>0.17749999999999999</v>
      </c>
      <c r="P74" s="65" t="s">
        <v>38</v>
      </c>
      <c r="Q74" s="67">
        <v>0.16500000000000001</v>
      </c>
      <c r="R74" s="65" t="s">
        <v>38</v>
      </c>
      <c r="S74" s="67">
        <v>0.19950000000000001</v>
      </c>
      <c r="T74" s="40">
        <v>0.32</v>
      </c>
      <c r="U74" s="40">
        <v>0.307</v>
      </c>
      <c r="V74" s="65" t="s">
        <v>38</v>
      </c>
      <c r="W74" s="40">
        <v>0.36499999999999999</v>
      </c>
      <c r="X74" s="40">
        <v>0.35099999999999998</v>
      </c>
      <c r="Y74" s="40" t="s">
        <v>38</v>
      </c>
      <c r="Z74" s="40">
        <v>0.34899999999999998</v>
      </c>
      <c r="AA74" s="40">
        <v>0.33600000000000002</v>
      </c>
      <c r="AB74" s="40" t="s">
        <v>38</v>
      </c>
      <c r="AC74" s="40">
        <v>0.32200000000000001</v>
      </c>
      <c r="AD74" s="40">
        <v>0.32400000000000001</v>
      </c>
      <c r="AE74" s="40" t="s">
        <v>38</v>
      </c>
      <c r="AF74" s="40">
        <v>0.25</v>
      </c>
      <c r="AG74" s="40">
        <v>0.222</v>
      </c>
      <c r="AH74" s="40">
        <v>0.22900000000000001</v>
      </c>
      <c r="AI74" s="40" t="s">
        <v>38</v>
      </c>
      <c r="AJ74" s="40" t="s">
        <v>38</v>
      </c>
      <c r="AK74" s="40">
        <v>0.20599999999999999</v>
      </c>
      <c r="AL74" s="40">
        <v>0.21</v>
      </c>
      <c r="AM74" s="40">
        <v>0.23699999999999999</v>
      </c>
      <c r="AN74" s="40">
        <v>0.26300000000000001</v>
      </c>
      <c r="AO74" s="40" t="s">
        <v>38</v>
      </c>
      <c r="AP74" s="40" t="s">
        <v>38</v>
      </c>
      <c r="AQ74" s="40">
        <v>0.26200000000000001</v>
      </c>
      <c r="AR74" s="40" t="s">
        <v>38</v>
      </c>
      <c r="AS74" s="40">
        <v>0.23</v>
      </c>
      <c r="AT74" s="40" t="s">
        <v>38</v>
      </c>
      <c r="AU74" s="40">
        <v>0.22800000000000001</v>
      </c>
      <c r="AV74" s="40" t="s">
        <v>38</v>
      </c>
      <c r="AW74" s="40" t="s">
        <v>38</v>
      </c>
      <c r="AX74" s="40" t="s">
        <v>38</v>
      </c>
      <c r="AY74" s="40">
        <v>0.21</v>
      </c>
      <c r="AZ74" s="40">
        <v>0.216</v>
      </c>
      <c r="BA74" s="40">
        <v>0.19500000000000001</v>
      </c>
      <c r="BB74" s="49">
        <v>0.14649999999999999</v>
      </c>
      <c r="BC74" s="40">
        <v>0.19750000000000001</v>
      </c>
      <c r="BD74" s="50">
        <v>0.21149999999999999</v>
      </c>
      <c r="BE74" s="50">
        <v>0.20200000000000001</v>
      </c>
      <c r="BF74" s="58">
        <v>0.1525</v>
      </c>
      <c r="BG74" s="40">
        <v>0.214</v>
      </c>
      <c r="BH74" s="38" t="s">
        <v>38</v>
      </c>
      <c r="BI74" s="38" t="s">
        <v>38</v>
      </c>
      <c r="BJ74" s="38" t="s">
        <v>38</v>
      </c>
      <c r="BK74" s="38">
        <v>0.27</v>
      </c>
      <c r="BL74" s="38" t="s">
        <v>38</v>
      </c>
      <c r="BM74" s="38" t="s">
        <v>38</v>
      </c>
      <c r="BN74" s="38" t="s">
        <v>38</v>
      </c>
      <c r="BO74" s="38" t="s">
        <v>38</v>
      </c>
      <c r="BP74" s="38" t="s">
        <v>38</v>
      </c>
      <c r="BQ74" s="38">
        <v>0.21249999999999999</v>
      </c>
      <c r="BR74" s="41">
        <v>0.2135</v>
      </c>
      <c r="BS74" s="41">
        <v>0.20549999999999999</v>
      </c>
      <c r="BT74" s="41">
        <v>0.214</v>
      </c>
      <c r="BU74" s="42">
        <v>0.20150000000000001</v>
      </c>
      <c r="BV74" s="41" t="s">
        <v>38</v>
      </c>
      <c r="BW74" s="41" t="s">
        <v>38</v>
      </c>
      <c r="BX74" s="41" t="s">
        <v>38</v>
      </c>
      <c r="BY74" s="85">
        <f>(0.285+0.278)/2</f>
        <v>0.28149999999999997</v>
      </c>
      <c r="BZ74" s="85">
        <f>(0.399+0.415)/2</f>
        <v>0.40700000000000003</v>
      </c>
      <c r="CA74" s="90">
        <v>0.30349999999999999</v>
      </c>
    </row>
    <row r="75" spans="1:79">
      <c r="A75" s="64" t="s">
        <v>24</v>
      </c>
      <c r="B75" s="82">
        <v>254463.46215599999</v>
      </c>
      <c r="C75" s="82">
        <v>4505623.0080000004</v>
      </c>
      <c r="D75" s="78" t="s">
        <v>38</v>
      </c>
      <c r="E75" s="79" t="s">
        <v>38</v>
      </c>
      <c r="F75" s="79" t="s">
        <v>38</v>
      </c>
      <c r="G75" s="79" t="s">
        <v>38</v>
      </c>
      <c r="H75" s="79" t="s">
        <v>38</v>
      </c>
      <c r="I75" s="79">
        <v>0.2485</v>
      </c>
      <c r="J75" s="79">
        <v>0.23150000000000001</v>
      </c>
      <c r="K75" s="79">
        <v>0.20200000000000001</v>
      </c>
      <c r="L75" s="79" t="s">
        <v>38</v>
      </c>
      <c r="M75" s="79">
        <v>0.17699999999999999</v>
      </c>
      <c r="N75" s="67">
        <v>0.19750000000000001</v>
      </c>
      <c r="O75" s="67">
        <v>0.19550000000000001</v>
      </c>
      <c r="P75" s="65" t="s">
        <v>38</v>
      </c>
      <c r="Q75" s="67">
        <v>0.17099999999999999</v>
      </c>
      <c r="R75" s="65" t="s">
        <v>38</v>
      </c>
      <c r="S75" s="65" t="s">
        <v>38</v>
      </c>
      <c r="T75" s="40">
        <v>0.33500000000000002</v>
      </c>
      <c r="U75" s="40">
        <v>0.34100000000000003</v>
      </c>
      <c r="V75" s="65" t="s">
        <v>38</v>
      </c>
      <c r="W75" s="40">
        <v>0.38500000000000001</v>
      </c>
      <c r="X75" s="40">
        <v>0.32900000000000001</v>
      </c>
      <c r="Y75" s="40" t="s">
        <v>38</v>
      </c>
      <c r="Z75" s="40">
        <v>0.318</v>
      </c>
      <c r="AA75" s="40">
        <v>0.316</v>
      </c>
      <c r="AB75" s="40" t="s">
        <v>38</v>
      </c>
      <c r="AC75" s="40">
        <v>0.33600000000000002</v>
      </c>
      <c r="AD75" s="40">
        <v>0.32</v>
      </c>
      <c r="AE75" s="40" t="s">
        <v>38</v>
      </c>
      <c r="AF75" s="40">
        <v>0.25600000000000001</v>
      </c>
      <c r="AG75" s="40">
        <v>0.22500000000000001</v>
      </c>
      <c r="AH75" s="40">
        <v>0.221</v>
      </c>
      <c r="AI75" s="40" t="s">
        <v>38</v>
      </c>
      <c r="AJ75" s="40" t="s">
        <v>38</v>
      </c>
      <c r="AK75" s="40">
        <v>0.21</v>
      </c>
      <c r="AL75" s="40">
        <v>0.23200000000000001</v>
      </c>
      <c r="AM75" s="40">
        <v>0.29599999999999999</v>
      </c>
      <c r="AN75" s="40">
        <v>0.27700000000000002</v>
      </c>
      <c r="AO75" s="40" t="s">
        <v>38</v>
      </c>
      <c r="AP75" s="40" t="s">
        <v>38</v>
      </c>
      <c r="AQ75" s="40">
        <v>0.253</v>
      </c>
      <c r="AR75" s="40" t="s">
        <v>38</v>
      </c>
      <c r="AS75" s="40">
        <v>0.23</v>
      </c>
      <c r="AT75" s="40" t="s">
        <v>38</v>
      </c>
      <c r="AU75" s="40">
        <v>0.221</v>
      </c>
      <c r="AV75" s="40" t="s">
        <v>38</v>
      </c>
      <c r="AW75" s="40" t="s">
        <v>38</v>
      </c>
      <c r="AX75" s="40" t="s">
        <v>38</v>
      </c>
      <c r="AY75" s="40" t="s">
        <v>38</v>
      </c>
      <c r="AZ75" s="40" t="s">
        <v>38</v>
      </c>
      <c r="BA75" s="40">
        <v>0.185</v>
      </c>
      <c r="BB75" s="49">
        <v>0.14899999999999999</v>
      </c>
      <c r="BC75" s="40">
        <v>0.19500000000000001</v>
      </c>
      <c r="BD75" s="50">
        <v>0.219</v>
      </c>
      <c r="BE75" s="50">
        <v>0.21249999999999999</v>
      </c>
      <c r="BF75" s="58">
        <v>0.14200000000000002</v>
      </c>
      <c r="BG75" s="40">
        <v>0.21099999999999999</v>
      </c>
      <c r="BH75" s="38" t="s">
        <v>38</v>
      </c>
      <c r="BI75" s="38" t="s">
        <v>38</v>
      </c>
      <c r="BJ75" s="38" t="s">
        <v>38</v>
      </c>
      <c r="BK75" s="38">
        <v>0.28499999999999998</v>
      </c>
      <c r="BL75" s="38" t="s">
        <v>38</v>
      </c>
      <c r="BM75" s="38" t="s">
        <v>38</v>
      </c>
      <c r="BN75" s="38" t="s">
        <v>38</v>
      </c>
      <c r="BO75" s="38" t="s">
        <v>38</v>
      </c>
      <c r="BP75" s="38" t="s">
        <v>38</v>
      </c>
      <c r="BQ75" s="38">
        <v>0.214</v>
      </c>
      <c r="BR75" s="41">
        <v>0.216</v>
      </c>
      <c r="BS75" s="41">
        <v>0.2195</v>
      </c>
      <c r="BT75" s="41">
        <v>0.21049999999999999</v>
      </c>
      <c r="BU75" s="42">
        <v>0.20050000000000001</v>
      </c>
      <c r="BV75" s="41" t="s">
        <v>38</v>
      </c>
      <c r="BW75" s="41" t="s">
        <v>38</v>
      </c>
      <c r="BX75" s="41" t="s">
        <v>38</v>
      </c>
      <c r="BY75" s="85" t="s">
        <v>38</v>
      </c>
      <c r="BZ75" s="85">
        <f>(0.423+0.394)/2</f>
        <v>0.40849999999999997</v>
      </c>
      <c r="CA75" s="90">
        <v>0.3085</v>
      </c>
    </row>
    <row r="76" spans="1:79">
      <c r="A76" s="64" t="s">
        <v>25</v>
      </c>
      <c r="B76" s="82">
        <v>254463.55436400001</v>
      </c>
      <c r="C76" s="82">
        <v>4505624.7253999999</v>
      </c>
      <c r="D76" s="78">
        <v>0.33350000000000002</v>
      </c>
      <c r="E76" s="78">
        <v>0.29549999999999998</v>
      </c>
      <c r="F76" s="79">
        <v>0.3125</v>
      </c>
      <c r="G76" s="79">
        <v>0.32900000000000001</v>
      </c>
      <c r="H76" s="79">
        <v>0.32500000000000001</v>
      </c>
      <c r="I76" s="79">
        <v>0.27400000000000002</v>
      </c>
      <c r="J76" s="79">
        <v>0.25</v>
      </c>
      <c r="K76" s="79">
        <v>0.2155</v>
      </c>
      <c r="L76" s="79">
        <v>0.248</v>
      </c>
      <c r="M76" s="79">
        <v>0.20050000000000001</v>
      </c>
      <c r="N76" s="67">
        <v>0.216</v>
      </c>
      <c r="O76" s="67">
        <v>0.1925</v>
      </c>
      <c r="P76" s="65" t="s">
        <v>38</v>
      </c>
      <c r="Q76" s="67">
        <v>0.2535</v>
      </c>
      <c r="R76" s="65" t="s">
        <v>38</v>
      </c>
      <c r="S76" s="65" t="s">
        <v>38</v>
      </c>
      <c r="T76" s="40">
        <v>0.33900000000000002</v>
      </c>
      <c r="U76" s="40">
        <v>0.35</v>
      </c>
      <c r="V76" s="65" t="s">
        <v>38</v>
      </c>
      <c r="W76" s="40">
        <v>0.38400000000000001</v>
      </c>
      <c r="X76" s="40">
        <v>0.379</v>
      </c>
      <c r="Y76" s="40" t="s">
        <v>38</v>
      </c>
      <c r="Z76" s="40">
        <v>0.38200000000000001</v>
      </c>
      <c r="AA76" s="40">
        <v>0.36299999999999999</v>
      </c>
      <c r="AB76" s="40" t="s">
        <v>38</v>
      </c>
      <c r="AC76" s="40">
        <v>0.36199999999999999</v>
      </c>
      <c r="AD76" s="40">
        <v>0.35799999999999998</v>
      </c>
      <c r="AE76" s="40" t="s">
        <v>38</v>
      </c>
      <c r="AF76" s="40">
        <v>0.28299999999999997</v>
      </c>
      <c r="AG76" s="40">
        <v>0.24199999999999999</v>
      </c>
      <c r="AH76" s="40">
        <v>0.24199999999999999</v>
      </c>
      <c r="AI76" s="40" t="s">
        <v>38</v>
      </c>
      <c r="AJ76" s="40" t="s">
        <v>38</v>
      </c>
      <c r="AK76" s="40">
        <v>0.23200000000000001</v>
      </c>
      <c r="AL76" s="40" t="s">
        <v>38</v>
      </c>
      <c r="AM76" s="40">
        <v>0.33</v>
      </c>
      <c r="AN76" s="40">
        <v>0.23</v>
      </c>
      <c r="AO76" s="40" t="s">
        <v>38</v>
      </c>
      <c r="AP76" s="40" t="s">
        <v>38</v>
      </c>
      <c r="AQ76" s="40">
        <v>0.27900000000000003</v>
      </c>
      <c r="AR76" s="40" t="s">
        <v>38</v>
      </c>
      <c r="AS76" s="40">
        <v>0.24299999999999999</v>
      </c>
      <c r="AT76" s="40" t="s">
        <v>38</v>
      </c>
      <c r="AU76" s="40">
        <v>0.252</v>
      </c>
      <c r="AV76" s="40" t="s">
        <v>38</v>
      </c>
      <c r="AW76" s="40" t="s">
        <v>38</v>
      </c>
      <c r="AX76" s="40" t="s">
        <v>38</v>
      </c>
      <c r="AY76" s="40" t="s">
        <v>38</v>
      </c>
      <c r="AZ76" s="40" t="s">
        <v>38</v>
      </c>
      <c r="BA76" s="40">
        <v>0.20200000000000001</v>
      </c>
      <c r="BB76" s="49">
        <v>0.17099999999999999</v>
      </c>
      <c r="BC76" s="40">
        <v>0.2185</v>
      </c>
      <c r="BD76" s="50">
        <v>0.23399999999999999</v>
      </c>
      <c r="BE76" s="50">
        <v>0.2195</v>
      </c>
      <c r="BF76" s="58">
        <v>0.17099999999999999</v>
      </c>
      <c r="BG76" s="40">
        <v>0.24349999999999999</v>
      </c>
      <c r="BH76" s="38" t="s">
        <v>38</v>
      </c>
      <c r="BI76" s="38" t="s">
        <v>38</v>
      </c>
      <c r="BJ76" s="38" t="s">
        <v>38</v>
      </c>
      <c r="BK76" s="38">
        <v>0.29199999999999998</v>
      </c>
      <c r="BL76" s="38" t="s">
        <v>38</v>
      </c>
      <c r="BM76" s="38" t="s">
        <v>38</v>
      </c>
      <c r="BN76" s="38" t="s">
        <v>38</v>
      </c>
      <c r="BO76" s="38" t="s">
        <v>38</v>
      </c>
      <c r="BP76" s="38" t="s">
        <v>38</v>
      </c>
      <c r="BQ76" s="38">
        <v>0.23599999999999999</v>
      </c>
      <c r="BR76" s="41">
        <v>0.23099999999999998</v>
      </c>
      <c r="BS76" s="41">
        <v>0.22800000000000001</v>
      </c>
      <c r="BT76" s="41">
        <v>0.23250000000000001</v>
      </c>
      <c r="BU76" s="42">
        <v>0.2185</v>
      </c>
      <c r="BV76" s="41" t="s">
        <v>38</v>
      </c>
      <c r="BW76" s="41" t="s">
        <v>38</v>
      </c>
      <c r="BX76" s="41" t="s">
        <v>38</v>
      </c>
      <c r="BY76" s="85">
        <f>(0.309+0.322)/2</f>
        <v>0.3155</v>
      </c>
      <c r="BZ76" s="85">
        <f>(0.44+0.441)/2</f>
        <v>0.4405</v>
      </c>
      <c r="CA76" s="90">
        <v>0.33050000000000002</v>
      </c>
    </row>
    <row r="77" spans="1:79">
      <c r="A77" s="64">
        <v>56</v>
      </c>
      <c r="B77" s="82">
        <v>254461.96097399999</v>
      </c>
      <c r="C77" s="82">
        <v>4505643.9971200004</v>
      </c>
      <c r="D77" s="78" t="s">
        <v>38</v>
      </c>
      <c r="E77" s="79" t="s">
        <v>38</v>
      </c>
      <c r="F77" s="79" t="s">
        <v>38</v>
      </c>
      <c r="G77" s="79" t="s">
        <v>38</v>
      </c>
      <c r="H77" s="79" t="s">
        <v>38</v>
      </c>
      <c r="I77" s="79" t="s">
        <v>38</v>
      </c>
      <c r="J77" s="79" t="s">
        <v>38</v>
      </c>
      <c r="K77" s="79" t="s">
        <v>38</v>
      </c>
      <c r="L77" s="79" t="s">
        <v>38</v>
      </c>
      <c r="M77" s="79" t="s">
        <v>38</v>
      </c>
      <c r="N77" s="79" t="s">
        <v>38</v>
      </c>
      <c r="O77" s="79" t="s">
        <v>38</v>
      </c>
      <c r="P77" s="79" t="s">
        <v>38</v>
      </c>
      <c r="Q77" s="79" t="s">
        <v>38</v>
      </c>
      <c r="R77" s="79" t="s">
        <v>38</v>
      </c>
      <c r="S77" s="79" t="s">
        <v>38</v>
      </c>
      <c r="T77" s="79" t="s">
        <v>38</v>
      </c>
      <c r="U77" s="79" t="s">
        <v>38</v>
      </c>
      <c r="V77" s="79" t="s">
        <v>38</v>
      </c>
      <c r="W77" s="79" t="s">
        <v>38</v>
      </c>
      <c r="X77" s="79" t="s">
        <v>38</v>
      </c>
      <c r="Y77" s="79" t="s">
        <v>38</v>
      </c>
      <c r="Z77" s="79" t="s">
        <v>38</v>
      </c>
      <c r="AA77" s="79" t="s">
        <v>38</v>
      </c>
      <c r="AB77" s="79" t="s">
        <v>38</v>
      </c>
      <c r="AC77" s="79" t="s">
        <v>38</v>
      </c>
      <c r="AD77" s="79" t="s">
        <v>38</v>
      </c>
      <c r="AE77" s="79" t="s">
        <v>38</v>
      </c>
      <c r="AF77" s="79" t="s">
        <v>38</v>
      </c>
      <c r="AG77" s="79" t="s">
        <v>38</v>
      </c>
      <c r="AH77" s="79" t="s">
        <v>38</v>
      </c>
      <c r="AI77" s="79" t="s">
        <v>38</v>
      </c>
      <c r="AJ77" s="79" t="s">
        <v>38</v>
      </c>
      <c r="AK77" s="79" t="s">
        <v>38</v>
      </c>
      <c r="AL77" s="79" t="s">
        <v>38</v>
      </c>
      <c r="AM77" s="79" t="s">
        <v>38</v>
      </c>
      <c r="AN77" s="79" t="s">
        <v>38</v>
      </c>
      <c r="AO77" s="79" t="s">
        <v>38</v>
      </c>
      <c r="AP77" s="79" t="s">
        <v>38</v>
      </c>
      <c r="AQ77" s="79" t="s">
        <v>38</v>
      </c>
      <c r="AR77" s="79" t="s">
        <v>38</v>
      </c>
      <c r="AS77" s="79" t="s">
        <v>38</v>
      </c>
      <c r="AT77" s="79" t="s">
        <v>38</v>
      </c>
      <c r="AU77" s="79" t="s">
        <v>38</v>
      </c>
      <c r="AV77" s="79" t="s">
        <v>38</v>
      </c>
      <c r="AW77" s="79" t="s">
        <v>38</v>
      </c>
      <c r="AX77" s="79" t="s">
        <v>38</v>
      </c>
      <c r="AY77" s="79" t="s">
        <v>38</v>
      </c>
      <c r="AZ77" s="79" t="s">
        <v>38</v>
      </c>
      <c r="BA77" s="79" t="s">
        <v>38</v>
      </c>
      <c r="BB77" s="79" t="s">
        <v>38</v>
      </c>
      <c r="BC77" s="79" t="s">
        <v>38</v>
      </c>
      <c r="BD77" s="79" t="s">
        <v>38</v>
      </c>
      <c r="BE77" s="79" t="s">
        <v>38</v>
      </c>
      <c r="BF77" s="79" t="s">
        <v>38</v>
      </c>
      <c r="BG77" s="79" t="s">
        <v>38</v>
      </c>
      <c r="BH77" s="79" t="s">
        <v>38</v>
      </c>
      <c r="BI77" s="79" t="s">
        <v>38</v>
      </c>
      <c r="BJ77" s="79" t="s">
        <v>38</v>
      </c>
      <c r="BK77" s="79" t="s">
        <v>38</v>
      </c>
      <c r="BL77" s="79" t="s">
        <v>38</v>
      </c>
      <c r="BM77" s="79" t="s">
        <v>38</v>
      </c>
      <c r="BN77" s="79" t="s">
        <v>38</v>
      </c>
      <c r="BO77" s="79" t="s">
        <v>38</v>
      </c>
      <c r="BP77" s="79" t="s">
        <v>38</v>
      </c>
      <c r="BQ77" s="79" t="s">
        <v>38</v>
      </c>
      <c r="BR77" s="79" t="s">
        <v>38</v>
      </c>
      <c r="BS77" s="79" t="s">
        <v>38</v>
      </c>
      <c r="BT77" s="79" t="s">
        <v>38</v>
      </c>
      <c r="BU77" s="79" t="s">
        <v>38</v>
      </c>
      <c r="BV77" s="79" t="s">
        <v>38</v>
      </c>
      <c r="BW77" s="79" t="s">
        <v>38</v>
      </c>
      <c r="BX77" s="79" t="s">
        <v>38</v>
      </c>
      <c r="BY77" s="85" t="s">
        <v>38</v>
      </c>
      <c r="BZ77" s="79" t="s">
        <v>38</v>
      </c>
      <c r="CA77" s="90" t="s">
        <v>38</v>
      </c>
    </row>
    <row r="78" spans="1:79">
      <c r="A78" s="64">
        <v>57</v>
      </c>
      <c r="B78" s="83">
        <v>254450.62839500001</v>
      </c>
      <c r="C78" s="83">
        <v>4505644.3176199999</v>
      </c>
      <c r="D78" s="78" t="s">
        <v>38</v>
      </c>
      <c r="E78" s="79" t="s">
        <v>38</v>
      </c>
      <c r="F78" s="79" t="s">
        <v>38</v>
      </c>
      <c r="G78" s="79" t="s">
        <v>38</v>
      </c>
      <c r="H78" s="79" t="s">
        <v>38</v>
      </c>
      <c r="I78" s="79" t="s">
        <v>38</v>
      </c>
      <c r="J78" s="79" t="s">
        <v>38</v>
      </c>
      <c r="K78" s="79" t="s">
        <v>38</v>
      </c>
      <c r="L78" s="79" t="s">
        <v>38</v>
      </c>
      <c r="M78" s="79" t="s">
        <v>38</v>
      </c>
      <c r="N78" s="79" t="s">
        <v>38</v>
      </c>
      <c r="O78" s="79" t="s">
        <v>38</v>
      </c>
      <c r="P78" s="79" t="s">
        <v>38</v>
      </c>
      <c r="Q78" s="79" t="s">
        <v>38</v>
      </c>
      <c r="R78" s="79" t="s">
        <v>38</v>
      </c>
      <c r="S78" s="79" t="s">
        <v>38</v>
      </c>
      <c r="T78" s="79" t="s">
        <v>38</v>
      </c>
      <c r="U78" s="79" t="s">
        <v>38</v>
      </c>
      <c r="V78" s="79" t="s">
        <v>38</v>
      </c>
      <c r="W78" s="79" t="s">
        <v>38</v>
      </c>
      <c r="X78" s="79" t="s">
        <v>38</v>
      </c>
      <c r="Y78" s="79" t="s">
        <v>38</v>
      </c>
      <c r="Z78" s="79" t="s">
        <v>38</v>
      </c>
      <c r="AA78" s="79" t="s">
        <v>38</v>
      </c>
      <c r="AB78" s="79" t="s">
        <v>38</v>
      </c>
      <c r="AC78" s="79" t="s">
        <v>38</v>
      </c>
      <c r="AD78" s="79" t="s">
        <v>38</v>
      </c>
      <c r="AE78" s="79" t="s">
        <v>38</v>
      </c>
      <c r="AF78" s="79" t="s">
        <v>38</v>
      </c>
      <c r="AG78" s="79" t="s">
        <v>38</v>
      </c>
      <c r="AH78" s="79" t="s">
        <v>38</v>
      </c>
      <c r="AI78" s="79" t="s">
        <v>38</v>
      </c>
      <c r="AJ78" s="79" t="s">
        <v>38</v>
      </c>
      <c r="AK78" s="79" t="s">
        <v>38</v>
      </c>
      <c r="AL78" s="79" t="s">
        <v>38</v>
      </c>
      <c r="AM78" s="79" t="s">
        <v>38</v>
      </c>
      <c r="AN78" s="79" t="s">
        <v>38</v>
      </c>
      <c r="AO78" s="79" t="s">
        <v>38</v>
      </c>
      <c r="AP78" s="79" t="s">
        <v>38</v>
      </c>
      <c r="AQ78" s="79" t="s">
        <v>38</v>
      </c>
      <c r="AR78" s="79" t="s">
        <v>38</v>
      </c>
      <c r="AS78" s="79" t="s">
        <v>38</v>
      </c>
      <c r="AT78" s="79" t="s">
        <v>38</v>
      </c>
      <c r="AU78" s="79" t="s">
        <v>38</v>
      </c>
      <c r="AV78" s="79" t="s">
        <v>38</v>
      </c>
      <c r="AW78" s="79" t="s">
        <v>38</v>
      </c>
      <c r="AX78" s="79" t="s">
        <v>38</v>
      </c>
      <c r="AY78" s="79" t="s">
        <v>38</v>
      </c>
      <c r="AZ78" s="79" t="s">
        <v>38</v>
      </c>
      <c r="BA78" s="79" t="s">
        <v>38</v>
      </c>
      <c r="BB78" s="79" t="s">
        <v>38</v>
      </c>
      <c r="BC78" s="79" t="s">
        <v>38</v>
      </c>
      <c r="BD78" s="79" t="s">
        <v>38</v>
      </c>
      <c r="BE78" s="79" t="s">
        <v>38</v>
      </c>
      <c r="BF78" s="79" t="s">
        <v>38</v>
      </c>
      <c r="BG78" s="79" t="s">
        <v>38</v>
      </c>
      <c r="BH78" s="79" t="s">
        <v>38</v>
      </c>
      <c r="BI78" s="79" t="s">
        <v>38</v>
      </c>
      <c r="BJ78" s="79" t="s">
        <v>38</v>
      </c>
      <c r="BK78" s="79" t="s">
        <v>38</v>
      </c>
      <c r="BL78" s="79" t="s">
        <v>38</v>
      </c>
      <c r="BM78" s="79" t="s">
        <v>38</v>
      </c>
      <c r="BN78" s="79" t="s">
        <v>38</v>
      </c>
      <c r="BO78" s="79" t="s">
        <v>38</v>
      </c>
      <c r="BP78" s="79" t="s">
        <v>38</v>
      </c>
      <c r="BQ78" s="79" t="s">
        <v>38</v>
      </c>
      <c r="BR78" s="79" t="s">
        <v>38</v>
      </c>
      <c r="BS78" s="79" t="s">
        <v>38</v>
      </c>
      <c r="BT78" s="79" t="s">
        <v>38</v>
      </c>
      <c r="BU78" s="79" t="s">
        <v>38</v>
      </c>
      <c r="BV78" s="79" t="s">
        <v>38</v>
      </c>
      <c r="BW78" s="79" t="s">
        <v>38</v>
      </c>
      <c r="BX78" s="79" t="s">
        <v>38</v>
      </c>
      <c r="BY78" s="85" t="s">
        <v>38</v>
      </c>
      <c r="BZ78" s="79" t="s">
        <v>38</v>
      </c>
      <c r="CA78" s="90" t="s">
        <v>38</v>
      </c>
    </row>
    <row r="79" spans="1:79">
      <c r="A79" s="64">
        <v>58</v>
      </c>
      <c r="B79" s="83">
        <v>254478.967924</v>
      </c>
      <c r="C79" s="83">
        <v>4505639.2194499997</v>
      </c>
      <c r="D79" s="78" t="s">
        <v>38</v>
      </c>
      <c r="E79" s="79" t="s">
        <v>38</v>
      </c>
      <c r="F79" s="79" t="s">
        <v>38</v>
      </c>
      <c r="G79" s="79" t="s">
        <v>38</v>
      </c>
      <c r="H79" s="79" t="s">
        <v>38</v>
      </c>
      <c r="I79" s="79" t="s">
        <v>38</v>
      </c>
      <c r="J79" s="79" t="s">
        <v>38</v>
      </c>
      <c r="K79" s="79" t="s">
        <v>38</v>
      </c>
      <c r="L79" s="79" t="s">
        <v>38</v>
      </c>
      <c r="M79" s="79" t="s">
        <v>38</v>
      </c>
      <c r="N79" s="79" t="s">
        <v>38</v>
      </c>
      <c r="O79" s="79" t="s">
        <v>38</v>
      </c>
      <c r="P79" s="79" t="s">
        <v>38</v>
      </c>
      <c r="Q79" s="79" t="s">
        <v>38</v>
      </c>
      <c r="R79" s="79" t="s">
        <v>38</v>
      </c>
      <c r="S79" s="79" t="s">
        <v>38</v>
      </c>
      <c r="T79" s="79" t="s">
        <v>38</v>
      </c>
      <c r="U79" s="79" t="s">
        <v>38</v>
      </c>
      <c r="V79" s="79" t="s">
        <v>38</v>
      </c>
      <c r="W79" s="79" t="s">
        <v>38</v>
      </c>
      <c r="X79" s="79" t="s">
        <v>38</v>
      </c>
      <c r="Y79" s="79" t="s">
        <v>38</v>
      </c>
      <c r="Z79" s="79" t="s">
        <v>38</v>
      </c>
      <c r="AA79" s="79" t="s">
        <v>38</v>
      </c>
      <c r="AB79" s="79" t="s">
        <v>38</v>
      </c>
      <c r="AC79" s="79" t="s">
        <v>38</v>
      </c>
      <c r="AD79" s="79" t="s">
        <v>38</v>
      </c>
      <c r="AE79" s="79" t="s">
        <v>38</v>
      </c>
      <c r="AF79" s="79" t="s">
        <v>38</v>
      </c>
      <c r="AG79" s="79" t="s">
        <v>38</v>
      </c>
      <c r="AH79" s="79" t="s">
        <v>38</v>
      </c>
      <c r="AI79" s="79" t="s">
        <v>38</v>
      </c>
      <c r="AJ79" s="79" t="s">
        <v>38</v>
      </c>
      <c r="AK79" s="79" t="s">
        <v>38</v>
      </c>
      <c r="AL79" s="79" t="s">
        <v>38</v>
      </c>
      <c r="AM79" s="79" t="s">
        <v>38</v>
      </c>
      <c r="AN79" s="79" t="s">
        <v>38</v>
      </c>
      <c r="AO79" s="79" t="s">
        <v>38</v>
      </c>
      <c r="AP79" s="79" t="s">
        <v>38</v>
      </c>
      <c r="AQ79" s="79" t="s">
        <v>38</v>
      </c>
      <c r="AR79" s="79" t="s">
        <v>38</v>
      </c>
      <c r="AS79" s="79" t="s">
        <v>38</v>
      </c>
      <c r="AT79" s="79" t="s">
        <v>38</v>
      </c>
      <c r="AU79" s="79" t="s">
        <v>38</v>
      </c>
      <c r="AV79" s="79" t="s">
        <v>38</v>
      </c>
      <c r="AW79" s="79" t="s">
        <v>38</v>
      </c>
      <c r="AX79" s="79" t="s">
        <v>38</v>
      </c>
      <c r="AY79" s="79" t="s">
        <v>38</v>
      </c>
      <c r="AZ79" s="79" t="s">
        <v>38</v>
      </c>
      <c r="BA79" s="79" t="s">
        <v>38</v>
      </c>
      <c r="BB79" s="79" t="s">
        <v>38</v>
      </c>
      <c r="BC79" s="79" t="s">
        <v>38</v>
      </c>
      <c r="BD79" s="79" t="s">
        <v>38</v>
      </c>
      <c r="BE79" s="79" t="s">
        <v>38</v>
      </c>
      <c r="BF79" s="79" t="s">
        <v>38</v>
      </c>
      <c r="BG79" s="79" t="s">
        <v>38</v>
      </c>
      <c r="BH79" s="79" t="s">
        <v>38</v>
      </c>
      <c r="BI79" s="79" t="s">
        <v>38</v>
      </c>
      <c r="BJ79" s="79" t="s">
        <v>38</v>
      </c>
      <c r="BK79" s="79" t="s">
        <v>38</v>
      </c>
      <c r="BL79" s="79" t="s">
        <v>38</v>
      </c>
      <c r="BM79" s="79" t="s">
        <v>38</v>
      </c>
      <c r="BN79" s="79" t="s">
        <v>38</v>
      </c>
      <c r="BO79" s="79" t="s">
        <v>38</v>
      </c>
      <c r="BP79" s="79" t="s">
        <v>38</v>
      </c>
      <c r="BQ79" s="79" t="s">
        <v>38</v>
      </c>
      <c r="BR79" s="79" t="s">
        <v>38</v>
      </c>
      <c r="BS79" s="79" t="s">
        <v>38</v>
      </c>
      <c r="BT79" s="79" t="s">
        <v>38</v>
      </c>
      <c r="BU79" s="79" t="s">
        <v>38</v>
      </c>
      <c r="BV79" s="79" t="s">
        <v>38</v>
      </c>
      <c r="BW79" s="79" t="s">
        <v>38</v>
      </c>
      <c r="BX79" s="79" t="s">
        <v>38</v>
      </c>
      <c r="BY79" s="85" t="s">
        <v>38</v>
      </c>
      <c r="BZ79" s="79" t="s">
        <v>38</v>
      </c>
      <c r="CA79" s="90" t="s">
        <v>38</v>
      </c>
    </row>
    <row r="80" spans="1:79">
      <c r="A80" s="64">
        <v>59</v>
      </c>
      <c r="B80" s="83">
        <v>254508.20847300001</v>
      </c>
      <c r="C80" s="83">
        <v>4505675.6492100004</v>
      </c>
      <c r="D80" s="78" t="s">
        <v>38</v>
      </c>
      <c r="E80" s="79" t="s">
        <v>38</v>
      </c>
      <c r="F80" s="79" t="s">
        <v>38</v>
      </c>
      <c r="G80" s="79" t="s">
        <v>38</v>
      </c>
      <c r="H80" s="79" t="s">
        <v>38</v>
      </c>
      <c r="I80" s="79" t="s">
        <v>38</v>
      </c>
      <c r="J80" s="79" t="s">
        <v>38</v>
      </c>
      <c r="K80" s="79" t="s">
        <v>38</v>
      </c>
      <c r="L80" s="79" t="s">
        <v>38</v>
      </c>
      <c r="M80" s="79" t="s">
        <v>38</v>
      </c>
      <c r="N80" s="79" t="s">
        <v>38</v>
      </c>
      <c r="O80" s="79" t="s">
        <v>38</v>
      </c>
      <c r="P80" s="79" t="s">
        <v>38</v>
      </c>
      <c r="Q80" s="79" t="s">
        <v>38</v>
      </c>
      <c r="R80" s="79" t="s">
        <v>38</v>
      </c>
      <c r="S80" s="79" t="s">
        <v>38</v>
      </c>
      <c r="T80" s="79" t="s">
        <v>38</v>
      </c>
      <c r="U80" s="79" t="s">
        <v>38</v>
      </c>
      <c r="V80" s="79" t="s">
        <v>38</v>
      </c>
      <c r="W80" s="79" t="s">
        <v>38</v>
      </c>
      <c r="X80" s="79" t="s">
        <v>38</v>
      </c>
      <c r="Y80" s="79" t="s">
        <v>38</v>
      </c>
      <c r="Z80" s="79" t="s">
        <v>38</v>
      </c>
      <c r="AA80" s="79" t="s">
        <v>38</v>
      </c>
      <c r="AB80" s="79" t="s">
        <v>38</v>
      </c>
      <c r="AC80" s="79" t="s">
        <v>38</v>
      </c>
      <c r="AD80" s="79" t="s">
        <v>38</v>
      </c>
      <c r="AE80" s="79" t="s">
        <v>38</v>
      </c>
      <c r="AF80" s="79" t="s">
        <v>38</v>
      </c>
      <c r="AG80" s="79" t="s">
        <v>38</v>
      </c>
      <c r="AH80" s="79" t="s">
        <v>38</v>
      </c>
      <c r="AI80" s="79" t="s">
        <v>38</v>
      </c>
      <c r="AJ80" s="79" t="s">
        <v>38</v>
      </c>
      <c r="AK80" s="79" t="s">
        <v>38</v>
      </c>
      <c r="AL80" s="79" t="s">
        <v>38</v>
      </c>
      <c r="AM80" s="79" t="s">
        <v>38</v>
      </c>
      <c r="AN80" s="79" t="s">
        <v>38</v>
      </c>
      <c r="AO80" s="79" t="s">
        <v>38</v>
      </c>
      <c r="AP80" s="79" t="s">
        <v>38</v>
      </c>
      <c r="AQ80" s="79" t="s">
        <v>38</v>
      </c>
      <c r="AR80" s="79" t="s">
        <v>38</v>
      </c>
      <c r="AS80" s="79" t="s">
        <v>38</v>
      </c>
      <c r="AT80" s="79" t="s">
        <v>38</v>
      </c>
      <c r="AU80" s="79" t="s">
        <v>38</v>
      </c>
      <c r="AV80" s="79" t="s">
        <v>38</v>
      </c>
      <c r="AW80" s="79" t="s">
        <v>38</v>
      </c>
      <c r="AX80" s="79" t="s">
        <v>38</v>
      </c>
      <c r="AY80" s="79" t="s">
        <v>38</v>
      </c>
      <c r="AZ80" s="79" t="s">
        <v>38</v>
      </c>
      <c r="BA80" s="79" t="s">
        <v>38</v>
      </c>
      <c r="BB80" s="79" t="s">
        <v>38</v>
      </c>
      <c r="BC80" s="79" t="s">
        <v>38</v>
      </c>
      <c r="BD80" s="79" t="s">
        <v>38</v>
      </c>
      <c r="BE80" s="79" t="s">
        <v>38</v>
      </c>
      <c r="BF80" s="79" t="s">
        <v>38</v>
      </c>
      <c r="BG80" s="79" t="s">
        <v>38</v>
      </c>
      <c r="BH80" s="79" t="s">
        <v>38</v>
      </c>
      <c r="BI80" s="79" t="s">
        <v>38</v>
      </c>
      <c r="BJ80" s="79" t="s">
        <v>38</v>
      </c>
      <c r="BK80" s="79" t="s">
        <v>38</v>
      </c>
      <c r="BL80" s="79" t="s">
        <v>38</v>
      </c>
      <c r="BM80" s="79" t="s">
        <v>38</v>
      </c>
      <c r="BN80" s="79" t="s">
        <v>38</v>
      </c>
      <c r="BO80" s="79" t="s">
        <v>38</v>
      </c>
      <c r="BP80" s="79" t="s">
        <v>38</v>
      </c>
      <c r="BQ80" s="79" t="s">
        <v>38</v>
      </c>
      <c r="BR80" s="79" t="s">
        <v>38</v>
      </c>
      <c r="BS80" s="79" t="s">
        <v>38</v>
      </c>
      <c r="BT80" s="79" t="s">
        <v>38</v>
      </c>
      <c r="BU80" s="79" t="s">
        <v>38</v>
      </c>
      <c r="BV80" s="79" t="s">
        <v>38</v>
      </c>
      <c r="BW80" s="79" t="s">
        <v>38</v>
      </c>
      <c r="BX80" s="79" t="s">
        <v>38</v>
      </c>
      <c r="BY80" s="85" t="s">
        <v>38</v>
      </c>
      <c r="BZ80" s="79" t="s">
        <v>38</v>
      </c>
      <c r="CA80" s="90" t="s">
        <v>38</v>
      </c>
    </row>
    <row r="81" spans="1:79">
      <c r="A81" s="64">
        <v>60</v>
      </c>
      <c r="B81" s="82">
        <v>254489.42741900001</v>
      </c>
      <c r="C81" s="82">
        <v>4505627.2146600001</v>
      </c>
      <c r="D81" s="78" t="s">
        <v>38</v>
      </c>
      <c r="E81" s="79" t="s">
        <v>38</v>
      </c>
      <c r="F81" s="79" t="s">
        <v>38</v>
      </c>
      <c r="G81" s="79" t="s">
        <v>38</v>
      </c>
      <c r="H81" s="79" t="s">
        <v>38</v>
      </c>
      <c r="I81" s="79" t="s">
        <v>38</v>
      </c>
      <c r="J81" s="79" t="s">
        <v>38</v>
      </c>
      <c r="K81" s="79" t="s">
        <v>38</v>
      </c>
      <c r="L81" s="79" t="s">
        <v>38</v>
      </c>
      <c r="M81" s="79" t="s">
        <v>38</v>
      </c>
      <c r="N81" s="79" t="s">
        <v>38</v>
      </c>
      <c r="O81" s="79" t="s">
        <v>38</v>
      </c>
      <c r="P81" s="79" t="s">
        <v>38</v>
      </c>
      <c r="Q81" s="79" t="s">
        <v>38</v>
      </c>
      <c r="R81" s="79" t="s">
        <v>38</v>
      </c>
      <c r="S81" s="79" t="s">
        <v>38</v>
      </c>
      <c r="T81" s="79" t="s">
        <v>38</v>
      </c>
      <c r="U81" s="79" t="s">
        <v>38</v>
      </c>
      <c r="V81" s="79" t="s">
        <v>38</v>
      </c>
      <c r="W81" s="79" t="s">
        <v>38</v>
      </c>
      <c r="X81" s="79" t="s">
        <v>38</v>
      </c>
      <c r="Y81" s="79" t="s">
        <v>38</v>
      </c>
      <c r="Z81" s="79" t="s">
        <v>38</v>
      </c>
      <c r="AA81" s="79" t="s">
        <v>38</v>
      </c>
      <c r="AB81" s="79" t="s">
        <v>38</v>
      </c>
      <c r="AC81" s="79" t="s">
        <v>38</v>
      </c>
      <c r="AD81" s="79" t="s">
        <v>38</v>
      </c>
      <c r="AE81" s="79" t="s">
        <v>38</v>
      </c>
      <c r="AF81" s="79" t="s">
        <v>38</v>
      </c>
      <c r="AG81" s="79" t="s">
        <v>38</v>
      </c>
      <c r="AH81" s="79" t="s">
        <v>38</v>
      </c>
      <c r="AI81" s="79" t="s">
        <v>38</v>
      </c>
      <c r="AJ81" s="79" t="s">
        <v>38</v>
      </c>
      <c r="AK81" s="79" t="s">
        <v>38</v>
      </c>
      <c r="AL81" s="79" t="s">
        <v>38</v>
      </c>
      <c r="AM81" s="79" t="s">
        <v>38</v>
      </c>
      <c r="AN81" s="79" t="s">
        <v>38</v>
      </c>
      <c r="AO81" s="79" t="s">
        <v>38</v>
      </c>
      <c r="AP81" s="79" t="s">
        <v>38</v>
      </c>
      <c r="AQ81" s="79" t="s">
        <v>38</v>
      </c>
      <c r="AR81" s="79" t="s">
        <v>38</v>
      </c>
      <c r="AS81" s="79" t="s">
        <v>38</v>
      </c>
      <c r="AT81" s="79" t="s">
        <v>38</v>
      </c>
      <c r="AU81" s="79" t="s">
        <v>38</v>
      </c>
      <c r="AV81" s="79" t="s">
        <v>38</v>
      </c>
      <c r="AW81" s="79" t="s">
        <v>38</v>
      </c>
      <c r="AX81" s="79" t="s">
        <v>38</v>
      </c>
      <c r="AY81" s="79" t="s">
        <v>38</v>
      </c>
      <c r="AZ81" s="79" t="s">
        <v>38</v>
      </c>
      <c r="BA81" s="79" t="s">
        <v>38</v>
      </c>
      <c r="BB81" s="79" t="s">
        <v>38</v>
      </c>
      <c r="BC81" s="79" t="s">
        <v>38</v>
      </c>
      <c r="BD81" s="79" t="s">
        <v>38</v>
      </c>
      <c r="BE81" s="79" t="s">
        <v>38</v>
      </c>
      <c r="BF81" s="79" t="s">
        <v>38</v>
      </c>
      <c r="BG81" s="79" t="s">
        <v>38</v>
      </c>
      <c r="BH81" s="79" t="s">
        <v>38</v>
      </c>
      <c r="BI81" s="79" t="s">
        <v>38</v>
      </c>
      <c r="BJ81" s="79" t="s">
        <v>38</v>
      </c>
      <c r="BK81" s="79" t="s">
        <v>38</v>
      </c>
      <c r="BL81" s="79" t="s">
        <v>38</v>
      </c>
      <c r="BM81" s="79" t="s">
        <v>38</v>
      </c>
      <c r="BN81" s="79" t="s">
        <v>38</v>
      </c>
      <c r="BO81" s="79" t="s">
        <v>38</v>
      </c>
      <c r="BP81" s="79" t="s">
        <v>38</v>
      </c>
      <c r="BQ81" s="79" t="s">
        <v>38</v>
      </c>
      <c r="BR81" s="79" t="s">
        <v>38</v>
      </c>
      <c r="BS81" s="79" t="s">
        <v>38</v>
      </c>
      <c r="BT81" s="79" t="s">
        <v>38</v>
      </c>
      <c r="BU81" s="79" t="s">
        <v>38</v>
      </c>
      <c r="BV81" s="79" t="s">
        <v>38</v>
      </c>
      <c r="BW81" s="79" t="s">
        <v>38</v>
      </c>
      <c r="BX81" s="79" t="s">
        <v>38</v>
      </c>
      <c r="BY81" s="85" t="s">
        <v>38</v>
      </c>
      <c r="BZ81" s="85" t="s">
        <v>38</v>
      </c>
      <c r="CA81" s="90" t="s">
        <v>38</v>
      </c>
    </row>
    <row r="82" spans="1:79">
      <c r="A82" s="64" t="s">
        <v>26</v>
      </c>
      <c r="B82" s="82">
        <v>254490.50914000001</v>
      </c>
      <c r="C82" s="82">
        <v>4505628.04213</v>
      </c>
      <c r="D82" s="78" t="s">
        <v>38</v>
      </c>
      <c r="E82" s="79" t="s">
        <v>38</v>
      </c>
      <c r="F82" s="79" t="s">
        <v>38</v>
      </c>
      <c r="G82" s="79" t="s">
        <v>38</v>
      </c>
      <c r="H82" s="79" t="s">
        <v>38</v>
      </c>
      <c r="I82" s="79" t="s">
        <v>38</v>
      </c>
      <c r="J82" s="79" t="s">
        <v>38</v>
      </c>
      <c r="K82" s="79" t="s">
        <v>38</v>
      </c>
      <c r="L82" s="79" t="s">
        <v>38</v>
      </c>
      <c r="M82" s="79" t="s">
        <v>38</v>
      </c>
      <c r="N82" s="79" t="s">
        <v>38</v>
      </c>
      <c r="O82" s="79" t="s">
        <v>38</v>
      </c>
      <c r="P82" s="79" t="s">
        <v>38</v>
      </c>
      <c r="Q82" s="79" t="s">
        <v>38</v>
      </c>
      <c r="R82" s="79" t="s">
        <v>38</v>
      </c>
      <c r="S82" s="79" t="s">
        <v>38</v>
      </c>
      <c r="T82" s="79" t="s">
        <v>38</v>
      </c>
      <c r="U82" s="79" t="s">
        <v>38</v>
      </c>
      <c r="V82" s="79" t="s">
        <v>38</v>
      </c>
      <c r="W82" s="79" t="s">
        <v>38</v>
      </c>
      <c r="X82" s="79" t="s">
        <v>38</v>
      </c>
      <c r="Y82" s="79" t="s">
        <v>38</v>
      </c>
      <c r="Z82" s="79" t="s">
        <v>38</v>
      </c>
      <c r="AA82" s="79" t="s">
        <v>38</v>
      </c>
      <c r="AB82" s="79" t="s">
        <v>38</v>
      </c>
      <c r="AC82" s="79" t="s">
        <v>38</v>
      </c>
      <c r="AD82" s="79" t="s">
        <v>38</v>
      </c>
      <c r="AE82" s="79" t="s">
        <v>38</v>
      </c>
      <c r="AF82" s="79" t="s">
        <v>38</v>
      </c>
      <c r="AG82" s="79" t="s">
        <v>38</v>
      </c>
      <c r="AH82" s="79" t="s">
        <v>38</v>
      </c>
      <c r="AI82" s="79" t="s">
        <v>38</v>
      </c>
      <c r="AJ82" s="79" t="s">
        <v>38</v>
      </c>
      <c r="AK82" s="79" t="s">
        <v>38</v>
      </c>
      <c r="AL82" s="79" t="s">
        <v>38</v>
      </c>
      <c r="AM82" s="79" t="s">
        <v>38</v>
      </c>
      <c r="AN82" s="79" t="s">
        <v>38</v>
      </c>
      <c r="AO82" s="79" t="s">
        <v>38</v>
      </c>
      <c r="AP82" s="79" t="s">
        <v>38</v>
      </c>
      <c r="AQ82" s="79" t="s">
        <v>38</v>
      </c>
      <c r="AR82" s="79" t="s">
        <v>38</v>
      </c>
      <c r="AS82" s="79" t="s">
        <v>38</v>
      </c>
      <c r="AT82" s="79" t="s">
        <v>38</v>
      </c>
      <c r="AU82" s="79" t="s">
        <v>38</v>
      </c>
      <c r="AV82" s="79" t="s">
        <v>38</v>
      </c>
      <c r="AW82" s="79" t="s">
        <v>38</v>
      </c>
      <c r="AX82" s="79" t="s">
        <v>38</v>
      </c>
      <c r="AY82" s="79" t="s">
        <v>38</v>
      </c>
      <c r="AZ82" s="79" t="s">
        <v>38</v>
      </c>
      <c r="BA82" s="79" t="s">
        <v>38</v>
      </c>
      <c r="BB82" s="79" t="s">
        <v>38</v>
      </c>
      <c r="BC82" s="79" t="s">
        <v>38</v>
      </c>
      <c r="BD82" s="79" t="s">
        <v>38</v>
      </c>
      <c r="BE82" s="79" t="s">
        <v>38</v>
      </c>
      <c r="BF82" s="79" t="s">
        <v>38</v>
      </c>
      <c r="BG82" s="79" t="s">
        <v>38</v>
      </c>
      <c r="BH82" s="79" t="s">
        <v>38</v>
      </c>
      <c r="BI82" s="79" t="s">
        <v>38</v>
      </c>
      <c r="BJ82" s="79" t="s">
        <v>38</v>
      </c>
      <c r="BK82" s="79" t="s">
        <v>38</v>
      </c>
      <c r="BL82" s="79" t="s">
        <v>38</v>
      </c>
      <c r="BM82" s="79" t="s">
        <v>38</v>
      </c>
      <c r="BN82" s="79" t="s">
        <v>38</v>
      </c>
      <c r="BO82" s="79" t="s">
        <v>38</v>
      </c>
      <c r="BP82" s="79" t="s">
        <v>38</v>
      </c>
      <c r="BQ82" s="79" t="s">
        <v>38</v>
      </c>
      <c r="BR82" s="79" t="s">
        <v>38</v>
      </c>
      <c r="BS82" s="79" t="s">
        <v>38</v>
      </c>
      <c r="BT82" s="79" t="s">
        <v>38</v>
      </c>
      <c r="BU82" s="79" t="s">
        <v>38</v>
      </c>
      <c r="BV82" s="79" t="s">
        <v>38</v>
      </c>
      <c r="BW82" s="79" t="s">
        <v>38</v>
      </c>
      <c r="BX82" s="79" t="s">
        <v>38</v>
      </c>
      <c r="BY82" s="85" t="s">
        <v>38</v>
      </c>
      <c r="BZ82" s="84" t="s">
        <v>38</v>
      </c>
      <c r="CA82" s="90" t="s">
        <v>38</v>
      </c>
    </row>
    <row r="83" spans="1:79">
      <c r="A83" s="64" t="s">
        <v>27</v>
      </c>
      <c r="B83" s="82">
        <v>254490.34821900001</v>
      </c>
      <c r="C83" s="82">
        <v>4505626.1343099996</v>
      </c>
      <c r="D83" s="78" t="s">
        <v>38</v>
      </c>
      <c r="E83" s="79" t="s">
        <v>38</v>
      </c>
      <c r="F83" s="79" t="s">
        <v>38</v>
      </c>
      <c r="G83" s="79" t="s">
        <v>38</v>
      </c>
      <c r="H83" s="79" t="s">
        <v>38</v>
      </c>
      <c r="I83" s="79" t="s">
        <v>38</v>
      </c>
      <c r="J83" s="79" t="s">
        <v>38</v>
      </c>
      <c r="K83" s="79" t="s">
        <v>38</v>
      </c>
      <c r="L83" s="79" t="s">
        <v>38</v>
      </c>
      <c r="M83" s="79" t="s">
        <v>38</v>
      </c>
      <c r="N83" s="79" t="s">
        <v>38</v>
      </c>
      <c r="O83" s="79" t="s">
        <v>38</v>
      </c>
      <c r="P83" s="79" t="s">
        <v>38</v>
      </c>
      <c r="Q83" s="79" t="s">
        <v>38</v>
      </c>
      <c r="R83" s="79" t="s">
        <v>38</v>
      </c>
      <c r="S83" s="79" t="s">
        <v>38</v>
      </c>
      <c r="T83" s="79" t="s">
        <v>38</v>
      </c>
      <c r="U83" s="79" t="s">
        <v>38</v>
      </c>
      <c r="V83" s="79" t="s">
        <v>38</v>
      </c>
      <c r="W83" s="79" t="s">
        <v>38</v>
      </c>
      <c r="X83" s="79" t="s">
        <v>38</v>
      </c>
      <c r="Y83" s="79" t="s">
        <v>38</v>
      </c>
      <c r="Z83" s="79" t="s">
        <v>38</v>
      </c>
      <c r="AA83" s="79" t="s">
        <v>38</v>
      </c>
      <c r="AB83" s="79" t="s">
        <v>38</v>
      </c>
      <c r="AC83" s="79" t="s">
        <v>38</v>
      </c>
      <c r="AD83" s="79" t="s">
        <v>38</v>
      </c>
      <c r="AE83" s="79" t="s">
        <v>38</v>
      </c>
      <c r="AF83" s="79" t="s">
        <v>38</v>
      </c>
      <c r="AG83" s="79" t="s">
        <v>38</v>
      </c>
      <c r="AH83" s="79" t="s">
        <v>38</v>
      </c>
      <c r="AI83" s="79" t="s">
        <v>38</v>
      </c>
      <c r="AJ83" s="79" t="s">
        <v>38</v>
      </c>
      <c r="AK83" s="79" t="s">
        <v>38</v>
      </c>
      <c r="AL83" s="79" t="s">
        <v>38</v>
      </c>
      <c r="AM83" s="79" t="s">
        <v>38</v>
      </c>
      <c r="AN83" s="79" t="s">
        <v>38</v>
      </c>
      <c r="AO83" s="79" t="s">
        <v>38</v>
      </c>
      <c r="AP83" s="79" t="s">
        <v>38</v>
      </c>
      <c r="AQ83" s="79" t="s">
        <v>38</v>
      </c>
      <c r="AR83" s="79" t="s">
        <v>38</v>
      </c>
      <c r="AS83" s="79" t="s">
        <v>38</v>
      </c>
      <c r="AT83" s="79" t="s">
        <v>38</v>
      </c>
      <c r="AU83" s="79" t="s">
        <v>38</v>
      </c>
      <c r="AV83" s="79" t="s">
        <v>38</v>
      </c>
      <c r="AW83" s="79" t="s">
        <v>38</v>
      </c>
      <c r="AX83" s="79" t="s">
        <v>38</v>
      </c>
      <c r="AY83" s="79" t="s">
        <v>38</v>
      </c>
      <c r="AZ83" s="79" t="s">
        <v>38</v>
      </c>
      <c r="BA83" s="79" t="s">
        <v>38</v>
      </c>
      <c r="BB83" s="79" t="s">
        <v>38</v>
      </c>
      <c r="BC83" s="79" t="s">
        <v>38</v>
      </c>
      <c r="BD83" s="79" t="s">
        <v>38</v>
      </c>
      <c r="BE83" s="79" t="s">
        <v>38</v>
      </c>
      <c r="BF83" s="79" t="s">
        <v>38</v>
      </c>
      <c r="BG83" s="79" t="s">
        <v>38</v>
      </c>
      <c r="BH83" s="79" t="s">
        <v>38</v>
      </c>
      <c r="BI83" s="79" t="s">
        <v>38</v>
      </c>
      <c r="BJ83" s="79" t="s">
        <v>38</v>
      </c>
      <c r="BK83" s="79" t="s">
        <v>38</v>
      </c>
      <c r="BL83" s="79" t="s">
        <v>38</v>
      </c>
      <c r="BM83" s="79" t="s">
        <v>38</v>
      </c>
      <c r="BN83" s="79" t="s">
        <v>38</v>
      </c>
      <c r="BO83" s="79" t="s">
        <v>38</v>
      </c>
      <c r="BP83" s="79" t="s">
        <v>38</v>
      </c>
      <c r="BQ83" s="79" t="s">
        <v>38</v>
      </c>
      <c r="BR83" s="79" t="s">
        <v>38</v>
      </c>
      <c r="BS83" s="79" t="s">
        <v>38</v>
      </c>
      <c r="BT83" s="79" t="s">
        <v>38</v>
      </c>
      <c r="BU83" s="79" t="s">
        <v>38</v>
      </c>
      <c r="BV83" s="79" t="s">
        <v>38</v>
      </c>
      <c r="BW83" s="79" t="s">
        <v>38</v>
      </c>
      <c r="BX83" s="79" t="s">
        <v>38</v>
      </c>
      <c r="BY83" s="85" t="s">
        <v>38</v>
      </c>
      <c r="BZ83" s="85" t="s">
        <v>38</v>
      </c>
      <c r="CA83" s="90" t="s">
        <v>38</v>
      </c>
    </row>
    <row r="84" spans="1:79">
      <c r="A84" s="64" t="s">
        <v>28</v>
      </c>
      <c r="B84" s="82">
        <v>254488.395021</v>
      </c>
      <c r="C84" s="82">
        <v>4505626.3354900004</v>
      </c>
      <c r="D84" s="78" t="s">
        <v>38</v>
      </c>
      <c r="E84" s="79" t="s">
        <v>38</v>
      </c>
      <c r="F84" s="79" t="s">
        <v>38</v>
      </c>
      <c r="G84" s="79" t="s">
        <v>38</v>
      </c>
      <c r="H84" s="79" t="s">
        <v>38</v>
      </c>
      <c r="I84" s="79" t="s">
        <v>38</v>
      </c>
      <c r="J84" s="79" t="s">
        <v>38</v>
      </c>
      <c r="K84" s="79" t="s">
        <v>38</v>
      </c>
      <c r="L84" s="79" t="s">
        <v>38</v>
      </c>
      <c r="M84" s="79" t="s">
        <v>38</v>
      </c>
      <c r="N84" s="79" t="s">
        <v>38</v>
      </c>
      <c r="O84" s="79" t="s">
        <v>38</v>
      </c>
      <c r="P84" s="79" t="s">
        <v>38</v>
      </c>
      <c r="Q84" s="79" t="s">
        <v>38</v>
      </c>
      <c r="R84" s="79" t="s">
        <v>38</v>
      </c>
      <c r="S84" s="79" t="s">
        <v>38</v>
      </c>
      <c r="T84" s="79" t="s">
        <v>38</v>
      </c>
      <c r="U84" s="79" t="s">
        <v>38</v>
      </c>
      <c r="V84" s="79" t="s">
        <v>38</v>
      </c>
      <c r="W84" s="79" t="s">
        <v>38</v>
      </c>
      <c r="X84" s="79" t="s">
        <v>38</v>
      </c>
      <c r="Y84" s="79" t="s">
        <v>38</v>
      </c>
      <c r="Z84" s="79" t="s">
        <v>38</v>
      </c>
      <c r="AA84" s="79" t="s">
        <v>38</v>
      </c>
      <c r="AB84" s="79" t="s">
        <v>38</v>
      </c>
      <c r="AC84" s="79" t="s">
        <v>38</v>
      </c>
      <c r="AD84" s="79" t="s">
        <v>38</v>
      </c>
      <c r="AE84" s="79" t="s">
        <v>38</v>
      </c>
      <c r="AF84" s="79" t="s">
        <v>38</v>
      </c>
      <c r="AG84" s="79" t="s">
        <v>38</v>
      </c>
      <c r="AH84" s="79" t="s">
        <v>38</v>
      </c>
      <c r="AI84" s="79" t="s">
        <v>38</v>
      </c>
      <c r="AJ84" s="79" t="s">
        <v>38</v>
      </c>
      <c r="AK84" s="79" t="s">
        <v>38</v>
      </c>
      <c r="AL84" s="79" t="s">
        <v>38</v>
      </c>
      <c r="AM84" s="79" t="s">
        <v>38</v>
      </c>
      <c r="AN84" s="79" t="s">
        <v>38</v>
      </c>
      <c r="AO84" s="79" t="s">
        <v>38</v>
      </c>
      <c r="AP84" s="79" t="s">
        <v>38</v>
      </c>
      <c r="AQ84" s="79" t="s">
        <v>38</v>
      </c>
      <c r="AR84" s="79" t="s">
        <v>38</v>
      </c>
      <c r="AS84" s="79" t="s">
        <v>38</v>
      </c>
      <c r="AT84" s="79" t="s">
        <v>38</v>
      </c>
      <c r="AU84" s="79" t="s">
        <v>38</v>
      </c>
      <c r="AV84" s="79" t="s">
        <v>38</v>
      </c>
      <c r="AW84" s="79" t="s">
        <v>38</v>
      </c>
      <c r="AX84" s="79" t="s">
        <v>38</v>
      </c>
      <c r="AY84" s="79" t="s">
        <v>38</v>
      </c>
      <c r="AZ84" s="79" t="s">
        <v>38</v>
      </c>
      <c r="BA84" s="79" t="s">
        <v>38</v>
      </c>
      <c r="BB84" s="79" t="s">
        <v>38</v>
      </c>
      <c r="BC84" s="79" t="s">
        <v>38</v>
      </c>
      <c r="BD84" s="79" t="s">
        <v>38</v>
      </c>
      <c r="BE84" s="79" t="s">
        <v>38</v>
      </c>
      <c r="BF84" s="79" t="s">
        <v>38</v>
      </c>
      <c r="BG84" s="79" t="s">
        <v>38</v>
      </c>
      <c r="BH84" s="79" t="s">
        <v>38</v>
      </c>
      <c r="BI84" s="79" t="s">
        <v>38</v>
      </c>
      <c r="BJ84" s="79" t="s">
        <v>38</v>
      </c>
      <c r="BK84" s="79" t="s">
        <v>38</v>
      </c>
      <c r="BL84" s="79" t="s">
        <v>38</v>
      </c>
      <c r="BM84" s="79" t="s">
        <v>38</v>
      </c>
      <c r="BN84" s="79" t="s">
        <v>38</v>
      </c>
      <c r="BO84" s="79" t="s">
        <v>38</v>
      </c>
      <c r="BP84" s="79" t="s">
        <v>38</v>
      </c>
      <c r="BQ84" s="79" t="s">
        <v>38</v>
      </c>
      <c r="BR84" s="79" t="s">
        <v>38</v>
      </c>
      <c r="BS84" s="79" t="s">
        <v>38</v>
      </c>
      <c r="BT84" s="79" t="s">
        <v>38</v>
      </c>
      <c r="BU84" s="79" t="s">
        <v>38</v>
      </c>
      <c r="BV84" s="79" t="s">
        <v>38</v>
      </c>
      <c r="BW84" s="79" t="s">
        <v>38</v>
      </c>
      <c r="BX84" s="79" t="s">
        <v>38</v>
      </c>
      <c r="BY84" s="85" t="s">
        <v>38</v>
      </c>
      <c r="BZ84" s="85" t="s">
        <v>38</v>
      </c>
      <c r="CA84" s="90" t="s">
        <v>38</v>
      </c>
    </row>
    <row r="85" spans="1:79">
      <c r="A85" s="64" t="s">
        <v>29</v>
      </c>
      <c r="B85" s="82">
        <v>254488.63037900001</v>
      </c>
      <c r="C85" s="82">
        <v>4505628.1816299995</v>
      </c>
      <c r="D85" s="78" t="s">
        <v>38</v>
      </c>
      <c r="E85" s="79" t="s">
        <v>38</v>
      </c>
      <c r="F85" s="79" t="s">
        <v>38</v>
      </c>
      <c r="G85" s="79" t="s">
        <v>38</v>
      </c>
      <c r="H85" s="79" t="s">
        <v>38</v>
      </c>
      <c r="I85" s="79" t="s">
        <v>38</v>
      </c>
      <c r="J85" s="79" t="s">
        <v>38</v>
      </c>
      <c r="K85" s="79" t="s">
        <v>38</v>
      </c>
      <c r="L85" s="79" t="s">
        <v>38</v>
      </c>
      <c r="M85" s="79" t="s">
        <v>38</v>
      </c>
      <c r="N85" s="79" t="s">
        <v>38</v>
      </c>
      <c r="O85" s="79" t="s">
        <v>38</v>
      </c>
      <c r="P85" s="79" t="s">
        <v>38</v>
      </c>
      <c r="Q85" s="79" t="s">
        <v>38</v>
      </c>
      <c r="R85" s="79" t="s">
        <v>38</v>
      </c>
      <c r="S85" s="79" t="s">
        <v>38</v>
      </c>
      <c r="T85" s="79" t="s">
        <v>38</v>
      </c>
      <c r="U85" s="79" t="s">
        <v>38</v>
      </c>
      <c r="V85" s="79" t="s">
        <v>38</v>
      </c>
      <c r="W85" s="79" t="s">
        <v>38</v>
      </c>
      <c r="X85" s="79" t="s">
        <v>38</v>
      </c>
      <c r="Y85" s="79" t="s">
        <v>38</v>
      </c>
      <c r="Z85" s="79" t="s">
        <v>38</v>
      </c>
      <c r="AA85" s="79" t="s">
        <v>38</v>
      </c>
      <c r="AB85" s="79" t="s">
        <v>38</v>
      </c>
      <c r="AC85" s="79" t="s">
        <v>38</v>
      </c>
      <c r="AD85" s="79" t="s">
        <v>38</v>
      </c>
      <c r="AE85" s="79" t="s">
        <v>38</v>
      </c>
      <c r="AF85" s="79" t="s">
        <v>38</v>
      </c>
      <c r="AG85" s="79" t="s">
        <v>38</v>
      </c>
      <c r="AH85" s="79" t="s">
        <v>38</v>
      </c>
      <c r="AI85" s="79" t="s">
        <v>38</v>
      </c>
      <c r="AJ85" s="79" t="s">
        <v>38</v>
      </c>
      <c r="AK85" s="79" t="s">
        <v>38</v>
      </c>
      <c r="AL85" s="79" t="s">
        <v>38</v>
      </c>
      <c r="AM85" s="79" t="s">
        <v>38</v>
      </c>
      <c r="AN85" s="79" t="s">
        <v>38</v>
      </c>
      <c r="AO85" s="79" t="s">
        <v>38</v>
      </c>
      <c r="AP85" s="79" t="s">
        <v>38</v>
      </c>
      <c r="AQ85" s="79" t="s">
        <v>38</v>
      </c>
      <c r="AR85" s="79" t="s">
        <v>38</v>
      </c>
      <c r="AS85" s="79" t="s">
        <v>38</v>
      </c>
      <c r="AT85" s="79" t="s">
        <v>38</v>
      </c>
      <c r="AU85" s="79" t="s">
        <v>38</v>
      </c>
      <c r="AV85" s="79" t="s">
        <v>38</v>
      </c>
      <c r="AW85" s="79" t="s">
        <v>38</v>
      </c>
      <c r="AX85" s="79" t="s">
        <v>38</v>
      </c>
      <c r="AY85" s="79" t="s">
        <v>38</v>
      </c>
      <c r="AZ85" s="79" t="s">
        <v>38</v>
      </c>
      <c r="BA85" s="79" t="s">
        <v>38</v>
      </c>
      <c r="BB85" s="79" t="s">
        <v>38</v>
      </c>
      <c r="BC85" s="79" t="s">
        <v>38</v>
      </c>
      <c r="BD85" s="79" t="s">
        <v>38</v>
      </c>
      <c r="BE85" s="79" t="s">
        <v>38</v>
      </c>
      <c r="BF85" s="79" t="s">
        <v>38</v>
      </c>
      <c r="BG85" s="79" t="s">
        <v>38</v>
      </c>
      <c r="BH85" s="79" t="s">
        <v>38</v>
      </c>
      <c r="BI85" s="79" t="s">
        <v>38</v>
      </c>
      <c r="BJ85" s="79" t="s">
        <v>38</v>
      </c>
      <c r="BK85" s="79" t="s">
        <v>38</v>
      </c>
      <c r="BL85" s="79" t="s">
        <v>38</v>
      </c>
      <c r="BM85" s="79" t="s">
        <v>38</v>
      </c>
      <c r="BN85" s="79" t="s">
        <v>38</v>
      </c>
      <c r="BO85" s="79" t="s">
        <v>38</v>
      </c>
      <c r="BP85" s="79" t="s">
        <v>38</v>
      </c>
      <c r="BQ85" s="79" t="s">
        <v>38</v>
      </c>
      <c r="BR85" s="79" t="s">
        <v>38</v>
      </c>
      <c r="BS85" s="79" t="s">
        <v>38</v>
      </c>
      <c r="BT85" s="79" t="s">
        <v>38</v>
      </c>
      <c r="BU85" s="79" t="s">
        <v>38</v>
      </c>
      <c r="BV85" s="79" t="s">
        <v>38</v>
      </c>
      <c r="BW85" s="79" t="s">
        <v>38</v>
      </c>
      <c r="BX85" s="79" t="s">
        <v>38</v>
      </c>
      <c r="BY85" s="85" t="s">
        <v>38</v>
      </c>
      <c r="BZ85" s="85" t="s">
        <v>38</v>
      </c>
      <c r="CA85" s="90" t="s">
        <v>38</v>
      </c>
    </row>
    <row r="86" spans="1:79">
      <c r="A86" s="64">
        <v>61</v>
      </c>
      <c r="B86" s="82">
        <v>254539.52779299999</v>
      </c>
      <c r="C86" s="82">
        <v>4505618.9177599996</v>
      </c>
      <c r="D86" s="78" t="s">
        <v>38</v>
      </c>
      <c r="E86" s="78">
        <v>0.20300000000000001</v>
      </c>
      <c r="F86" s="79">
        <v>0.2485</v>
      </c>
      <c r="G86" s="79">
        <v>0.2495</v>
      </c>
      <c r="H86" s="79">
        <v>0.23699999999999999</v>
      </c>
      <c r="I86" s="79">
        <v>0.21300000000000002</v>
      </c>
      <c r="J86" s="79">
        <v>0.22</v>
      </c>
      <c r="K86" s="79">
        <v>0.182</v>
      </c>
      <c r="L86" s="79">
        <v>0.17699999999999999</v>
      </c>
      <c r="M86" s="79" t="s">
        <v>38</v>
      </c>
      <c r="N86" s="79" t="s">
        <v>38</v>
      </c>
      <c r="O86" s="67">
        <v>0.17</v>
      </c>
      <c r="P86" s="79" t="s">
        <v>38</v>
      </c>
      <c r="Q86" s="79" t="s">
        <v>38</v>
      </c>
      <c r="R86" s="67">
        <v>0.19750000000000001</v>
      </c>
      <c r="S86" s="79" t="s">
        <v>38</v>
      </c>
      <c r="T86" s="40">
        <v>0.23200000000000001</v>
      </c>
      <c r="U86" s="40">
        <v>0.252</v>
      </c>
      <c r="V86" s="40">
        <v>0.254</v>
      </c>
      <c r="W86" s="40">
        <v>0.27300000000000002</v>
      </c>
      <c r="X86" s="40">
        <v>0.25</v>
      </c>
      <c r="Y86" s="40">
        <v>0.28399999999999997</v>
      </c>
      <c r="Z86" s="40">
        <v>0.27600000000000002</v>
      </c>
      <c r="AA86" s="40">
        <v>0.28899999999999998</v>
      </c>
      <c r="AB86" s="40">
        <v>0.37</v>
      </c>
      <c r="AC86" s="40">
        <v>0.29099999999999998</v>
      </c>
      <c r="AD86" s="40">
        <v>0.26700000000000002</v>
      </c>
      <c r="AE86" s="40">
        <v>0.251</v>
      </c>
      <c r="AF86" s="40">
        <v>0.22500000000000001</v>
      </c>
      <c r="AG86" s="40">
        <v>0.21199999999999999</v>
      </c>
      <c r="AH86" s="40">
        <v>0.19400000000000001</v>
      </c>
      <c r="AI86" s="40">
        <v>0.22500000000000001</v>
      </c>
      <c r="AJ86" s="40">
        <v>0.20300000000000001</v>
      </c>
      <c r="AK86" s="40">
        <v>0.191</v>
      </c>
      <c r="AL86" s="40">
        <v>0.19400000000000001</v>
      </c>
      <c r="AM86" s="40">
        <v>0.25800000000000001</v>
      </c>
      <c r="AN86" s="40">
        <v>0.23200000000000001</v>
      </c>
      <c r="AO86" s="40">
        <v>0.19800000000000001</v>
      </c>
      <c r="AP86" s="79" t="s">
        <v>38</v>
      </c>
      <c r="AQ86" s="40">
        <v>0.23100000000000001</v>
      </c>
      <c r="AR86" s="40">
        <v>0.23499999999999999</v>
      </c>
      <c r="AS86" s="79" t="s">
        <v>38</v>
      </c>
      <c r="AT86" s="40">
        <v>0.23599999999999999</v>
      </c>
      <c r="AU86" s="40">
        <v>0.2</v>
      </c>
      <c r="AV86" s="40">
        <v>0.20799999999999999</v>
      </c>
      <c r="AW86" s="40">
        <v>0.17</v>
      </c>
      <c r="AX86" s="40">
        <v>0.157</v>
      </c>
      <c r="AY86" s="40">
        <v>0.187</v>
      </c>
      <c r="AZ86" s="40">
        <v>0.191</v>
      </c>
      <c r="BA86" s="40">
        <v>9.9000000000000005E-2</v>
      </c>
      <c r="BB86" s="49">
        <v>0.1225</v>
      </c>
      <c r="BC86" s="40">
        <v>0.14449999999999999</v>
      </c>
      <c r="BD86" s="50">
        <v>0.19400000000000001</v>
      </c>
      <c r="BE86" s="79" t="s">
        <v>38</v>
      </c>
      <c r="BF86" s="50">
        <v>0.13850000000000001</v>
      </c>
      <c r="BG86" s="40">
        <v>0.23799999999999999</v>
      </c>
      <c r="BH86" s="38">
        <v>0.22899999999999998</v>
      </c>
      <c r="BI86" s="38">
        <v>0.20050000000000001</v>
      </c>
      <c r="BJ86" s="38">
        <v>0.2475</v>
      </c>
      <c r="BK86" s="38">
        <v>0.215</v>
      </c>
      <c r="BL86" s="38">
        <v>0.22950000000000001</v>
      </c>
      <c r="BM86" s="38">
        <v>0.247</v>
      </c>
      <c r="BN86" s="79" t="s">
        <v>38</v>
      </c>
      <c r="BO86" s="40">
        <v>0.20100000000000001</v>
      </c>
      <c r="BP86" s="38">
        <v>0.23199999999999998</v>
      </c>
      <c r="BQ86" s="38">
        <v>0.17499999999999999</v>
      </c>
      <c r="BR86" s="41">
        <v>0.2135</v>
      </c>
      <c r="BS86" s="79" t="s">
        <v>38</v>
      </c>
      <c r="BT86" s="41">
        <v>0.20849999999999999</v>
      </c>
      <c r="BU86" s="42">
        <v>0.182</v>
      </c>
      <c r="BV86" s="41">
        <v>0.17349999999999999</v>
      </c>
      <c r="BW86" s="79" t="s">
        <v>38</v>
      </c>
      <c r="BX86" s="79" t="s">
        <v>38</v>
      </c>
      <c r="BY86" s="85">
        <f>(0.311+0.348)/2</f>
        <v>0.32950000000000002</v>
      </c>
      <c r="BZ86" s="85">
        <f>(0.349+0.354)/2</f>
        <v>0.35149999999999998</v>
      </c>
      <c r="CA86" s="90">
        <v>0.52</v>
      </c>
    </row>
    <row r="87" spans="1:79">
      <c r="A87" s="64" t="s">
        <v>30</v>
      </c>
      <c r="B87" s="82">
        <v>254540.82258800001</v>
      </c>
      <c r="C87" s="82">
        <v>4505618.2169500003</v>
      </c>
      <c r="D87" s="78" t="s">
        <v>38</v>
      </c>
      <c r="E87" s="79">
        <v>0.252</v>
      </c>
      <c r="F87" s="79">
        <v>0.1525</v>
      </c>
      <c r="G87" s="79">
        <v>0.249</v>
      </c>
      <c r="H87" s="78">
        <v>0.246</v>
      </c>
      <c r="I87" s="79">
        <v>0.20850000000000002</v>
      </c>
      <c r="J87" s="79">
        <v>0.189</v>
      </c>
      <c r="K87" s="79">
        <v>0.183</v>
      </c>
      <c r="L87" s="79">
        <v>0.26650000000000001</v>
      </c>
      <c r="M87" s="79">
        <v>0.158</v>
      </c>
      <c r="N87" s="67">
        <v>0.1565</v>
      </c>
      <c r="O87" s="67">
        <v>0.15949999999999998</v>
      </c>
      <c r="P87" s="79" t="s">
        <v>38</v>
      </c>
      <c r="Q87" s="67">
        <v>0.17299999999999999</v>
      </c>
      <c r="R87" s="79" t="s">
        <v>38</v>
      </c>
      <c r="S87" s="67">
        <v>0.19</v>
      </c>
      <c r="T87" s="40">
        <v>0.29799999999999999</v>
      </c>
      <c r="U87" s="40">
        <v>0.29499999999999998</v>
      </c>
      <c r="V87" s="40">
        <v>0.309</v>
      </c>
      <c r="W87" s="40">
        <v>0.32800000000000001</v>
      </c>
      <c r="X87" s="40">
        <v>0.28999999999999998</v>
      </c>
      <c r="Y87" s="79" t="s">
        <v>38</v>
      </c>
      <c r="Z87" s="40">
        <v>0.29199999999999998</v>
      </c>
      <c r="AA87" s="40">
        <v>0.28699999999999998</v>
      </c>
      <c r="AB87" s="40">
        <v>0.33</v>
      </c>
      <c r="AC87" s="40">
        <v>0.28399999999999997</v>
      </c>
      <c r="AD87" s="40">
        <v>0.27400000000000002</v>
      </c>
      <c r="AE87" s="40" t="s">
        <v>38</v>
      </c>
      <c r="AF87" s="40">
        <v>0.23599999999999999</v>
      </c>
      <c r="AG87" s="40">
        <v>0.20399999999999999</v>
      </c>
      <c r="AH87" s="40">
        <v>0.19800000000000001</v>
      </c>
      <c r="AI87" s="40" t="s">
        <v>38</v>
      </c>
      <c r="AJ87" s="40" t="s">
        <v>38</v>
      </c>
      <c r="AK87" s="40">
        <v>0.19400000000000001</v>
      </c>
      <c r="AL87" s="40">
        <v>0.19400000000000001</v>
      </c>
      <c r="AM87" s="40">
        <v>0.29399999999999998</v>
      </c>
      <c r="AN87" s="40">
        <v>0.26700000000000002</v>
      </c>
      <c r="AO87" s="40" t="s">
        <v>38</v>
      </c>
      <c r="AP87" s="79" t="s">
        <v>38</v>
      </c>
      <c r="AQ87" s="40">
        <v>0.22700000000000001</v>
      </c>
      <c r="AR87" s="40" t="s">
        <v>38</v>
      </c>
      <c r="AS87" s="79" t="s">
        <v>38</v>
      </c>
      <c r="AT87" s="40" t="s">
        <v>38</v>
      </c>
      <c r="AU87" s="40">
        <v>0.184</v>
      </c>
      <c r="AV87" s="40" t="s">
        <v>38</v>
      </c>
      <c r="AW87" s="40" t="s">
        <v>38</v>
      </c>
      <c r="AX87" s="40" t="s">
        <v>38</v>
      </c>
      <c r="AY87" s="40">
        <v>0.26500000000000001</v>
      </c>
      <c r="AZ87" s="40">
        <v>0.27</v>
      </c>
      <c r="BA87" s="40">
        <v>0.18099999999999999</v>
      </c>
      <c r="BB87" s="49">
        <v>0.128</v>
      </c>
      <c r="BC87" s="40">
        <v>0.159</v>
      </c>
      <c r="BD87" s="50">
        <v>0.18099999999999999</v>
      </c>
      <c r="BE87" s="79" t="s">
        <v>38</v>
      </c>
      <c r="BF87" s="50">
        <v>0.19800000000000001</v>
      </c>
      <c r="BG87" s="40">
        <v>0.23399999999999999</v>
      </c>
      <c r="BH87" s="38" t="s">
        <v>38</v>
      </c>
      <c r="BI87" s="38" t="s">
        <v>38</v>
      </c>
      <c r="BJ87" s="39" t="s">
        <v>38</v>
      </c>
      <c r="BK87" s="38">
        <v>0.25750000000000001</v>
      </c>
      <c r="BL87" s="38" t="s">
        <v>38</v>
      </c>
      <c r="BM87" s="38" t="s">
        <v>38</v>
      </c>
      <c r="BN87" s="39" t="s">
        <v>38</v>
      </c>
      <c r="BO87" s="40" t="s">
        <v>38</v>
      </c>
      <c r="BP87" s="38" t="s">
        <v>38</v>
      </c>
      <c r="BQ87" s="38">
        <v>0.1905</v>
      </c>
      <c r="BR87" s="41">
        <v>0.20300000000000001</v>
      </c>
      <c r="BS87" s="79" t="s">
        <v>38</v>
      </c>
      <c r="BT87" s="41">
        <v>0.19350000000000001</v>
      </c>
      <c r="BU87" s="42">
        <v>0.1845</v>
      </c>
      <c r="BV87" s="41" t="s">
        <v>38</v>
      </c>
      <c r="BW87" s="42">
        <v>0.2</v>
      </c>
      <c r="BX87" s="79" t="s">
        <v>38</v>
      </c>
      <c r="BY87" s="85" t="s">
        <v>38</v>
      </c>
      <c r="BZ87" s="85">
        <f>(0.324+0.307)/2</f>
        <v>0.3155</v>
      </c>
      <c r="CA87" s="90" t="s">
        <v>38</v>
      </c>
    </row>
    <row r="88" spans="1:79">
      <c r="A88" s="64" t="s">
        <v>31</v>
      </c>
      <c r="B88" s="82">
        <v>254538.99475700001</v>
      </c>
      <c r="C88" s="82">
        <v>4505617.5153299998</v>
      </c>
      <c r="D88" s="78" t="s">
        <v>38</v>
      </c>
      <c r="E88" s="79">
        <v>0.29749999999999999</v>
      </c>
      <c r="F88" s="78">
        <v>0.26950000000000002</v>
      </c>
      <c r="G88" s="79">
        <v>0.31</v>
      </c>
      <c r="H88" s="78">
        <v>0.247</v>
      </c>
      <c r="I88" s="78">
        <v>0.23599999999999999</v>
      </c>
      <c r="J88" s="78">
        <v>0.214</v>
      </c>
      <c r="K88" s="78">
        <v>0.186</v>
      </c>
      <c r="L88" s="78">
        <v>0.20799999999999999</v>
      </c>
      <c r="M88" s="78">
        <v>0.18</v>
      </c>
      <c r="N88" s="67">
        <v>0.19750000000000001</v>
      </c>
      <c r="O88" s="67">
        <v>0.17599999999999999</v>
      </c>
      <c r="P88" s="79" t="s">
        <v>38</v>
      </c>
      <c r="Q88" s="67">
        <v>0.20700000000000002</v>
      </c>
      <c r="R88" s="79" t="s">
        <v>38</v>
      </c>
      <c r="S88" s="79" t="s">
        <v>38</v>
      </c>
      <c r="T88" s="40">
        <v>0.29899999999999999</v>
      </c>
      <c r="U88" s="40">
        <v>0.29899999999999999</v>
      </c>
      <c r="V88" s="40">
        <v>0.30199999999999999</v>
      </c>
      <c r="W88" s="40">
        <v>0.32700000000000001</v>
      </c>
      <c r="X88" s="40">
        <v>0.30099999999999999</v>
      </c>
      <c r="Y88" s="79" t="s">
        <v>38</v>
      </c>
      <c r="Z88" s="40">
        <v>0.317</v>
      </c>
      <c r="AA88" s="40">
        <v>0.30499999999999999</v>
      </c>
      <c r="AB88" s="40">
        <v>0.42899999999999999</v>
      </c>
      <c r="AC88" s="40">
        <v>0.32</v>
      </c>
      <c r="AD88" s="40">
        <v>0.28599999999999998</v>
      </c>
      <c r="AE88" s="40" t="s">
        <v>38</v>
      </c>
      <c r="AF88" s="40">
        <v>0.249</v>
      </c>
      <c r="AG88" s="40">
        <v>0.25</v>
      </c>
      <c r="AH88" s="40">
        <v>0.20200000000000001</v>
      </c>
      <c r="AI88" s="40" t="s">
        <v>38</v>
      </c>
      <c r="AJ88" s="40" t="s">
        <v>38</v>
      </c>
      <c r="AK88" s="40">
        <v>0.19400000000000001</v>
      </c>
      <c r="AL88" s="40">
        <v>0.28299999999999997</v>
      </c>
      <c r="AM88" s="40">
        <v>0.27400000000000002</v>
      </c>
      <c r="AN88" s="40">
        <v>0.27800000000000002</v>
      </c>
      <c r="AO88" s="40" t="s">
        <v>38</v>
      </c>
      <c r="AP88" s="79" t="s">
        <v>38</v>
      </c>
      <c r="AQ88" s="40">
        <v>0.25700000000000001</v>
      </c>
      <c r="AR88" s="40" t="s">
        <v>38</v>
      </c>
      <c r="AS88" s="79" t="s">
        <v>38</v>
      </c>
      <c r="AT88" s="40" t="s">
        <v>38</v>
      </c>
      <c r="AU88" s="40">
        <v>0.20899999999999999</v>
      </c>
      <c r="AV88" s="40" t="s">
        <v>38</v>
      </c>
      <c r="AW88" s="40" t="s">
        <v>38</v>
      </c>
      <c r="AX88" s="40" t="s">
        <v>38</v>
      </c>
      <c r="AY88" s="40">
        <v>0.24299999999999999</v>
      </c>
      <c r="AZ88" s="40">
        <v>0.253</v>
      </c>
      <c r="BA88" s="40">
        <v>0.26100000000000001</v>
      </c>
      <c r="BB88" s="49">
        <v>0.13850000000000001</v>
      </c>
      <c r="BC88" s="40">
        <v>0.19600000000000001</v>
      </c>
      <c r="BD88" s="50">
        <v>0.1925</v>
      </c>
      <c r="BE88" s="79" t="s">
        <v>38</v>
      </c>
      <c r="BF88" s="50">
        <v>0.20650000000000002</v>
      </c>
      <c r="BG88" s="40">
        <v>0.2545</v>
      </c>
      <c r="BH88" s="38" t="s">
        <v>38</v>
      </c>
      <c r="BI88" s="38" t="s">
        <v>38</v>
      </c>
      <c r="BJ88" s="39" t="s">
        <v>38</v>
      </c>
      <c r="BK88" s="38">
        <v>0.2505</v>
      </c>
      <c r="BL88" s="38" t="s">
        <v>38</v>
      </c>
      <c r="BM88" s="38" t="s">
        <v>38</v>
      </c>
      <c r="BN88" s="39" t="s">
        <v>38</v>
      </c>
      <c r="BO88" s="40" t="s">
        <v>38</v>
      </c>
      <c r="BP88" s="38" t="s">
        <v>38</v>
      </c>
      <c r="BQ88" s="38">
        <v>0.21199999999999999</v>
      </c>
      <c r="BR88" s="41">
        <v>0.21249999999999999</v>
      </c>
      <c r="BS88" s="79" t="s">
        <v>38</v>
      </c>
      <c r="BT88" s="41">
        <v>0.215</v>
      </c>
      <c r="BU88" s="42">
        <v>0.21049999999999999</v>
      </c>
      <c r="BV88" s="79" t="s">
        <v>38</v>
      </c>
      <c r="BW88" s="79" t="s">
        <v>38</v>
      </c>
      <c r="BX88" s="79" t="s">
        <v>38</v>
      </c>
      <c r="BY88" s="85">
        <f>(0.287+0.29)/2</f>
        <v>0.28849999999999998</v>
      </c>
      <c r="BZ88" s="85">
        <f>(0.352+0.354)/2</f>
        <v>0.35299999999999998</v>
      </c>
      <c r="CA88" s="91" t="s">
        <v>38</v>
      </c>
    </row>
    <row r="89" spans="1:79">
      <c r="A89" s="64" t="s">
        <v>32</v>
      </c>
      <c r="B89" s="82">
        <v>254538.198217</v>
      </c>
      <c r="C89" s="82">
        <v>4505619.3421200002</v>
      </c>
      <c r="D89" s="78" t="s">
        <v>38</v>
      </c>
      <c r="E89" s="79">
        <v>0.36149999999999999</v>
      </c>
      <c r="F89" s="78">
        <v>0.35549999999999998</v>
      </c>
      <c r="G89" s="79">
        <v>0.39300000000000002</v>
      </c>
      <c r="H89" s="78">
        <v>0.40250000000000002</v>
      </c>
      <c r="I89" s="78">
        <v>0.33550000000000002</v>
      </c>
      <c r="J89" s="78">
        <v>0.30299999999999999</v>
      </c>
      <c r="K89" s="78">
        <v>0.248</v>
      </c>
      <c r="L89" s="78">
        <v>0.16800000000000001</v>
      </c>
      <c r="M89" s="78">
        <v>0.24199999999999999</v>
      </c>
      <c r="N89" s="67">
        <v>0.3165</v>
      </c>
      <c r="O89" s="67">
        <v>0.2215</v>
      </c>
      <c r="P89" s="79" t="s">
        <v>38</v>
      </c>
      <c r="Q89" s="67">
        <v>0.245</v>
      </c>
      <c r="R89" s="79" t="s">
        <v>38</v>
      </c>
      <c r="S89" s="79" t="s">
        <v>38</v>
      </c>
      <c r="T89" s="40">
        <v>0.45800000000000002</v>
      </c>
      <c r="U89" s="40">
        <v>0.47799999999999998</v>
      </c>
      <c r="V89" s="40">
        <v>0.44</v>
      </c>
      <c r="W89" s="40">
        <v>0.53700000000000003</v>
      </c>
      <c r="X89" s="40">
        <v>0.45300000000000001</v>
      </c>
      <c r="Y89" s="79" t="s">
        <v>38</v>
      </c>
      <c r="Z89" s="40">
        <v>0.44</v>
      </c>
      <c r="AA89" s="40">
        <v>0.44800000000000001</v>
      </c>
      <c r="AB89" s="40">
        <v>0.443</v>
      </c>
      <c r="AC89" s="40">
        <v>0.5</v>
      </c>
      <c r="AD89" s="40">
        <v>0.48099999999999998</v>
      </c>
      <c r="AE89" s="40" t="s">
        <v>38</v>
      </c>
      <c r="AF89" s="40">
        <v>0.35099999999999998</v>
      </c>
      <c r="AG89" s="40">
        <v>0.33400000000000002</v>
      </c>
      <c r="AH89" s="40">
        <v>0.28899999999999998</v>
      </c>
      <c r="AI89" s="40" t="s">
        <v>38</v>
      </c>
      <c r="AJ89" s="40" t="s">
        <v>38</v>
      </c>
      <c r="AK89" s="40">
        <v>0.28299999999999997</v>
      </c>
      <c r="AL89" s="40">
        <v>0.28000000000000003</v>
      </c>
      <c r="AM89" s="40" t="s">
        <v>38</v>
      </c>
      <c r="AN89" s="40">
        <v>0.38300000000000001</v>
      </c>
      <c r="AO89" s="40" t="s">
        <v>38</v>
      </c>
      <c r="AP89" s="79" t="s">
        <v>38</v>
      </c>
      <c r="AQ89" s="40">
        <v>0.35</v>
      </c>
      <c r="AR89" s="40" t="s">
        <v>38</v>
      </c>
      <c r="AS89" s="79" t="s">
        <v>38</v>
      </c>
      <c r="AT89" s="40" t="s">
        <v>38</v>
      </c>
      <c r="AU89" s="40">
        <v>0.25700000000000001</v>
      </c>
      <c r="AV89" s="40" t="s">
        <v>38</v>
      </c>
      <c r="AW89" s="40" t="s">
        <v>38</v>
      </c>
      <c r="AX89" s="40" t="s">
        <v>38</v>
      </c>
      <c r="AY89" s="40">
        <v>0.182</v>
      </c>
      <c r="AZ89" s="40">
        <v>0.18099999999999999</v>
      </c>
      <c r="BA89" s="40">
        <v>0.21199999999999999</v>
      </c>
      <c r="BB89" s="49">
        <v>0.20250000000000001</v>
      </c>
      <c r="BC89" s="40">
        <v>0.27500000000000002</v>
      </c>
      <c r="BD89" s="50">
        <v>0.25800000000000001</v>
      </c>
      <c r="BE89" s="79" t="s">
        <v>38</v>
      </c>
      <c r="BF89" s="50">
        <v>0.29499999999999998</v>
      </c>
      <c r="BG89" s="40">
        <v>0.36849999999999999</v>
      </c>
      <c r="BH89" s="38" t="s">
        <v>38</v>
      </c>
      <c r="BI89" s="38" t="s">
        <v>38</v>
      </c>
      <c r="BJ89" s="39" t="s">
        <v>38</v>
      </c>
      <c r="BK89" s="38">
        <v>0.33900000000000002</v>
      </c>
      <c r="BL89" s="38" t="s">
        <v>38</v>
      </c>
      <c r="BM89" s="38" t="s">
        <v>38</v>
      </c>
      <c r="BN89" s="39" t="s">
        <v>38</v>
      </c>
      <c r="BO89" s="40" t="s">
        <v>38</v>
      </c>
      <c r="BP89" s="38" t="s">
        <v>38</v>
      </c>
      <c r="BQ89" s="38">
        <v>0.82299999999999995</v>
      </c>
      <c r="BR89" s="41">
        <v>0.81800000000000006</v>
      </c>
      <c r="BS89" s="79" t="s">
        <v>38</v>
      </c>
      <c r="BT89" s="41">
        <v>0.76700000000000002</v>
      </c>
      <c r="BU89" s="42">
        <v>0.71849999999999992</v>
      </c>
      <c r="BV89" s="79" t="s">
        <v>38</v>
      </c>
      <c r="BW89" s="79" t="s">
        <v>38</v>
      </c>
      <c r="BX89" s="79" t="s">
        <v>38</v>
      </c>
      <c r="BY89" s="85" t="s">
        <v>38</v>
      </c>
      <c r="BZ89" s="85">
        <f>(0.37+0.365)/2</f>
        <v>0.36749999999999999</v>
      </c>
      <c r="CA89" s="91" t="s">
        <v>38</v>
      </c>
    </row>
    <row r="90" spans="1:79">
      <c r="A90" s="64" t="s">
        <v>33</v>
      </c>
      <c r="B90" s="82">
        <v>254539.991026</v>
      </c>
      <c r="C90" s="82">
        <v>4505620.2901600003</v>
      </c>
      <c r="D90" s="78" t="s">
        <v>38</v>
      </c>
      <c r="E90" s="78">
        <v>0.51300000000000001</v>
      </c>
      <c r="F90" s="78">
        <v>0.38800000000000001</v>
      </c>
      <c r="G90" s="79" t="s">
        <v>38</v>
      </c>
      <c r="H90" s="79">
        <v>0.40400000000000003</v>
      </c>
      <c r="I90" s="78">
        <v>0.33850000000000002</v>
      </c>
      <c r="J90" s="78">
        <v>0.32450000000000001</v>
      </c>
      <c r="K90" s="78">
        <v>0.27149999999999996</v>
      </c>
      <c r="L90" s="78">
        <v>0.26500000000000001</v>
      </c>
      <c r="M90" s="78">
        <v>0.25850000000000001</v>
      </c>
      <c r="N90" s="67">
        <v>0.24399999999999999</v>
      </c>
      <c r="O90" s="67">
        <v>0.2485</v>
      </c>
      <c r="P90" s="67">
        <v>0.24199999999999999</v>
      </c>
      <c r="Q90" s="67">
        <v>0.24249999999999999</v>
      </c>
      <c r="R90" s="79" t="s">
        <v>38</v>
      </c>
      <c r="S90" s="67" t="s">
        <v>38</v>
      </c>
      <c r="T90" s="40">
        <v>0.42699999999999999</v>
      </c>
      <c r="U90" s="40">
        <v>0.441</v>
      </c>
      <c r="V90" s="40">
        <v>0.46</v>
      </c>
      <c r="W90" s="40">
        <v>0.58299999999999996</v>
      </c>
      <c r="X90" s="40">
        <v>0.41299999999999998</v>
      </c>
      <c r="Y90" s="79" t="s">
        <v>38</v>
      </c>
      <c r="Z90" s="40">
        <v>0.46200000000000002</v>
      </c>
      <c r="AA90" s="40">
        <v>0.42499999999999999</v>
      </c>
      <c r="AB90" s="40">
        <v>0.42699999999999999</v>
      </c>
      <c r="AC90" s="40">
        <v>0.49399999999999999</v>
      </c>
      <c r="AD90" s="40">
        <v>0.48</v>
      </c>
      <c r="AE90" s="40" t="s">
        <v>38</v>
      </c>
      <c r="AF90" s="40">
        <v>0.33300000000000002</v>
      </c>
      <c r="AG90" s="40">
        <v>0.29299999999999998</v>
      </c>
      <c r="AH90" s="40">
        <v>0.27</v>
      </c>
      <c r="AI90" s="40" t="s">
        <v>38</v>
      </c>
      <c r="AJ90" s="40" t="s">
        <v>38</v>
      </c>
      <c r="AK90" s="40">
        <v>0.28000000000000003</v>
      </c>
      <c r="AL90" s="40">
        <v>0.17299999999999999</v>
      </c>
      <c r="AM90" s="40" t="s">
        <v>38</v>
      </c>
      <c r="AN90" s="40">
        <v>0.35599999999999998</v>
      </c>
      <c r="AO90" s="40" t="s">
        <v>38</v>
      </c>
      <c r="AP90" s="79" t="s">
        <v>38</v>
      </c>
      <c r="AQ90" s="40">
        <v>0.376</v>
      </c>
      <c r="AR90" s="40" t="s">
        <v>38</v>
      </c>
      <c r="AS90" s="79" t="s">
        <v>38</v>
      </c>
      <c r="AT90" s="40" t="s">
        <v>38</v>
      </c>
      <c r="AU90" s="40">
        <v>0.314</v>
      </c>
      <c r="AV90" s="40" t="s">
        <v>38</v>
      </c>
      <c r="AW90" s="40" t="s">
        <v>38</v>
      </c>
      <c r="AX90" s="40" t="s">
        <v>38</v>
      </c>
      <c r="AY90" s="40">
        <v>0.19500000000000001</v>
      </c>
      <c r="AZ90" s="40">
        <v>0.18099999999999999</v>
      </c>
      <c r="BA90" s="40">
        <v>0.16900000000000001</v>
      </c>
      <c r="BB90" s="49">
        <v>0.188</v>
      </c>
      <c r="BC90" s="40">
        <v>0.27250000000000002</v>
      </c>
      <c r="BD90" s="50">
        <v>0.26149999999999995</v>
      </c>
      <c r="BE90" s="79" t="s">
        <v>38</v>
      </c>
      <c r="BF90" s="50">
        <v>0.2235</v>
      </c>
      <c r="BG90" s="40">
        <v>0.34250000000000003</v>
      </c>
      <c r="BH90" s="38" t="s">
        <v>38</v>
      </c>
      <c r="BI90" s="38" t="s">
        <v>38</v>
      </c>
      <c r="BJ90" s="39" t="s">
        <v>38</v>
      </c>
      <c r="BK90" s="38">
        <v>0.34150000000000003</v>
      </c>
      <c r="BL90" s="38" t="s">
        <v>38</v>
      </c>
      <c r="BM90" s="38" t="s">
        <v>38</v>
      </c>
      <c r="BN90" s="39" t="s">
        <v>38</v>
      </c>
      <c r="BO90" s="40" t="s">
        <v>38</v>
      </c>
      <c r="BP90" s="38" t="s">
        <v>38</v>
      </c>
      <c r="BQ90" s="38">
        <v>0.29749999999999999</v>
      </c>
      <c r="BR90" s="41">
        <v>0.32</v>
      </c>
      <c r="BS90" s="79" t="s">
        <v>38</v>
      </c>
      <c r="BT90" s="41">
        <v>0.27600000000000002</v>
      </c>
      <c r="BU90" s="42">
        <v>0.309</v>
      </c>
      <c r="BV90" s="79" t="s">
        <v>38</v>
      </c>
      <c r="BW90" s="79" t="s">
        <v>38</v>
      </c>
      <c r="BX90" s="79" t="s">
        <v>38</v>
      </c>
      <c r="BY90" s="85">
        <f>(0.394+0.408)/2</f>
        <v>0.40100000000000002</v>
      </c>
      <c r="BZ90" s="85">
        <f>(0.344+0.355)/2</f>
        <v>0.34949999999999998</v>
      </c>
      <c r="CA90" s="91">
        <v>0.51500000000000001</v>
      </c>
    </row>
    <row r="91" spans="1:79">
      <c r="A91" s="64">
        <v>62</v>
      </c>
      <c r="B91" s="82">
        <v>254529.63870800001</v>
      </c>
      <c r="C91" s="82">
        <v>4505611.6253199996</v>
      </c>
      <c r="D91" s="78" t="s">
        <v>38</v>
      </c>
      <c r="E91" s="79" t="s">
        <v>38</v>
      </c>
      <c r="F91" s="79" t="s">
        <v>38</v>
      </c>
      <c r="G91" s="79" t="s">
        <v>38</v>
      </c>
      <c r="H91" s="79" t="s">
        <v>38</v>
      </c>
      <c r="I91" s="79" t="s">
        <v>38</v>
      </c>
      <c r="J91" s="79" t="s">
        <v>38</v>
      </c>
      <c r="K91" s="79" t="s">
        <v>38</v>
      </c>
      <c r="L91" s="79" t="s">
        <v>38</v>
      </c>
      <c r="M91" s="79" t="s">
        <v>38</v>
      </c>
      <c r="N91" s="79" t="s">
        <v>38</v>
      </c>
      <c r="O91" s="79" t="s">
        <v>38</v>
      </c>
      <c r="P91" s="79" t="s">
        <v>38</v>
      </c>
      <c r="Q91" s="79" t="s">
        <v>38</v>
      </c>
      <c r="R91" s="79" t="s">
        <v>38</v>
      </c>
      <c r="S91" s="79" t="s">
        <v>38</v>
      </c>
      <c r="T91" s="79" t="s">
        <v>38</v>
      </c>
      <c r="U91" s="79" t="s">
        <v>38</v>
      </c>
      <c r="V91" s="79" t="s">
        <v>38</v>
      </c>
      <c r="W91" s="79" t="s">
        <v>38</v>
      </c>
      <c r="X91" s="79" t="s">
        <v>38</v>
      </c>
      <c r="Y91" s="79" t="s">
        <v>38</v>
      </c>
      <c r="Z91" s="79" t="s">
        <v>38</v>
      </c>
      <c r="AA91" s="79" t="s">
        <v>38</v>
      </c>
      <c r="AB91" s="79" t="s">
        <v>38</v>
      </c>
      <c r="AC91" s="79" t="s">
        <v>38</v>
      </c>
      <c r="AD91" s="79" t="s">
        <v>38</v>
      </c>
      <c r="AE91" s="79" t="s">
        <v>38</v>
      </c>
      <c r="AF91" s="79" t="s">
        <v>38</v>
      </c>
      <c r="AG91" s="79" t="s">
        <v>38</v>
      </c>
      <c r="AH91" s="79" t="s">
        <v>38</v>
      </c>
      <c r="AI91" s="79" t="s">
        <v>38</v>
      </c>
      <c r="AJ91" s="79" t="s">
        <v>38</v>
      </c>
      <c r="AK91" s="79" t="s">
        <v>38</v>
      </c>
      <c r="AL91" s="79" t="s">
        <v>38</v>
      </c>
      <c r="AM91" s="79" t="s">
        <v>38</v>
      </c>
      <c r="AN91" s="79" t="s">
        <v>38</v>
      </c>
      <c r="AO91" s="79" t="s">
        <v>38</v>
      </c>
      <c r="AP91" s="79" t="s">
        <v>38</v>
      </c>
      <c r="AQ91" s="79" t="s">
        <v>38</v>
      </c>
      <c r="AR91" s="79" t="s">
        <v>38</v>
      </c>
      <c r="AS91" s="79" t="s">
        <v>38</v>
      </c>
      <c r="AT91" s="79" t="s">
        <v>38</v>
      </c>
      <c r="AU91" s="79" t="s">
        <v>38</v>
      </c>
      <c r="AV91" s="79" t="s">
        <v>38</v>
      </c>
      <c r="AW91" s="79" t="s">
        <v>38</v>
      </c>
      <c r="AX91" s="79" t="s">
        <v>38</v>
      </c>
      <c r="AY91" s="79" t="s">
        <v>38</v>
      </c>
      <c r="AZ91" s="79" t="s">
        <v>38</v>
      </c>
      <c r="BA91" s="79" t="s">
        <v>38</v>
      </c>
      <c r="BB91" s="79" t="s">
        <v>38</v>
      </c>
      <c r="BC91" s="79" t="s">
        <v>38</v>
      </c>
      <c r="BD91" s="79" t="s">
        <v>38</v>
      </c>
      <c r="BE91" s="79" t="s">
        <v>38</v>
      </c>
      <c r="BF91" s="79" t="s">
        <v>38</v>
      </c>
      <c r="BG91" s="79" t="s">
        <v>38</v>
      </c>
      <c r="BH91" s="79" t="s">
        <v>38</v>
      </c>
      <c r="BI91" s="79" t="s">
        <v>38</v>
      </c>
      <c r="BJ91" s="79" t="s">
        <v>38</v>
      </c>
      <c r="BK91" s="79" t="s">
        <v>38</v>
      </c>
      <c r="BL91" s="79" t="s">
        <v>38</v>
      </c>
      <c r="BM91" s="79" t="s">
        <v>38</v>
      </c>
      <c r="BN91" s="79" t="s">
        <v>38</v>
      </c>
      <c r="BO91" s="79" t="s">
        <v>38</v>
      </c>
      <c r="BP91" s="79" t="s">
        <v>38</v>
      </c>
      <c r="BQ91" s="79" t="s">
        <v>38</v>
      </c>
      <c r="BR91" s="79" t="s">
        <v>38</v>
      </c>
      <c r="BS91" s="79" t="s">
        <v>38</v>
      </c>
      <c r="BT91" s="79" t="s">
        <v>38</v>
      </c>
      <c r="BU91" s="79" t="s">
        <v>38</v>
      </c>
      <c r="BV91" s="79" t="s">
        <v>38</v>
      </c>
      <c r="BW91" s="79" t="s">
        <v>38</v>
      </c>
      <c r="BX91" s="79" t="s">
        <v>38</v>
      </c>
      <c r="BY91" s="78" t="s">
        <v>38</v>
      </c>
      <c r="BZ91" s="79" t="s">
        <v>38</v>
      </c>
      <c r="CA91" s="76" t="s">
        <v>38</v>
      </c>
    </row>
    <row r="92" spans="1:79">
      <c r="A92" s="64">
        <v>63</v>
      </c>
      <c r="B92" s="82">
        <v>254551.13957</v>
      </c>
      <c r="C92" s="82">
        <v>4505625.0883400002</v>
      </c>
      <c r="D92" s="78" t="s">
        <v>38</v>
      </c>
      <c r="E92" s="79" t="s">
        <v>38</v>
      </c>
      <c r="F92" s="79" t="s">
        <v>38</v>
      </c>
      <c r="G92" s="79" t="s">
        <v>38</v>
      </c>
      <c r="H92" s="79" t="s">
        <v>38</v>
      </c>
      <c r="I92" s="79" t="s">
        <v>38</v>
      </c>
      <c r="J92" s="79" t="s">
        <v>38</v>
      </c>
      <c r="K92" s="79" t="s">
        <v>38</v>
      </c>
      <c r="L92" s="79" t="s">
        <v>38</v>
      </c>
      <c r="M92" s="79" t="s">
        <v>38</v>
      </c>
      <c r="N92" s="79" t="s">
        <v>38</v>
      </c>
      <c r="O92" s="79" t="s">
        <v>38</v>
      </c>
      <c r="P92" s="79" t="s">
        <v>38</v>
      </c>
      <c r="Q92" s="79" t="s">
        <v>38</v>
      </c>
      <c r="R92" s="79" t="s">
        <v>38</v>
      </c>
      <c r="S92" s="79" t="s">
        <v>38</v>
      </c>
      <c r="T92" s="79" t="s">
        <v>38</v>
      </c>
      <c r="U92" s="79" t="s">
        <v>38</v>
      </c>
      <c r="V92" s="79" t="s">
        <v>38</v>
      </c>
      <c r="W92" s="79" t="s">
        <v>38</v>
      </c>
      <c r="X92" s="79" t="s">
        <v>38</v>
      </c>
      <c r="Y92" s="79" t="s">
        <v>38</v>
      </c>
      <c r="Z92" s="79" t="s">
        <v>38</v>
      </c>
      <c r="AA92" s="79" t="s">
        <v>38</v>
      </c>
      <c r="AB92" s="79" t="s">
        <v>38</v>
      </c>
      <c r="AC92" s="79" t="s">
        <v>38</v>
      </c>
      <c r="AD92" s="79" t="s">
        <v>38</v>
      </c>
      <c r="AE92" s="79" t="s">
        <v>38</v>
      </c>
      <c r="AF92" s="79" t="s">
        <v>38</v>
      </c>
      <c r="AG92" s="79" t="s">
        <v>38</v>
      </c>
      <c r="AH92" s="79" t="s">
        <v>38</v>
      </c>
      <c r="AI92" s="79" t="s">
        <v>38</v>
      </c>
      <c r="AJ92" s="79" t="s">
        <v>38</v>
      </c>
      <c r="AK92" s="79" t="s">
        <v>38</v>
      </c>
      <c r="AL92" s="79" t="s">
        <v>38</v>
      </c>
      <c r="AM92" s="79" t="s">
        <v>38</v>
      </c>
      <c r="AN92" s="79" t="s">
        <v>38</v>
      </c>
      <c r="AO92" s="79" t="s">
        <v>38</v>
      </c>
      <c r="AP92" s="79" t="s">
        <v>38</v>
      </c>
      <c r="AQ92" s="79" t="s">
        <v>38</v>
      </c>
      <c r="AR92" s="79" t="s">
        <v>38</v>
      </c>
      <c r="AS92" s="79" t="s">
        <v>38</v>
      </c>
      <c r="AT92" s="79" t="s">
        <v>38</v>
      </c>
      <c r="AU92" s="79" t="s">
        <v>38</v>
      </c>
      <c r="AV92" s="79" t="s">
        <v>38</v>
      </c>
      <c r="AW92" s="79" t="s">
        <v>38</v>
      </c>
      <c r="AX92" s="79" t="s">
        <v>38</v>
      </c>
      <c r="AY92" s="79" t="s">
        <v>38</v>
      </c>
      <c r="AZ92" s="79" t="s">
        <v>38</v>
      </c>
      <c r="BA92" s="79" t="s">
        <v>38</v>
      </c>
      <c r="BB92" s="79" t="s">
        <v>38</v>
      </c>
      <c r="BC92" s="79" t="s">
        <v>38</v>
      </c>
      <c r="BD92" s="79" t="s">
        <v>38</v>
      </c>
      <c r="BE92" s="79" t="s">
        <v>38</v>
      </c>
      <c r="BF92" s="79" t="s">
        <v>38</v>
      </c>
      <c r="BG92" s="79" t="s">
        <v>38</v>
      </c>
      <c r="BH92" s="79" t="s">
        <v>38</v>
      </c>
      <c r="BI92" s="79" t="s">
        <v>38</v>
      </c>
      <c r="BJ92" s="79" t="s">
        <v>38</v>
      </c>
      <c r="BK92" s="79" t="s">
        <v>38</v>
      </c>
      <c r="BL92" s="79" t="s">
        <v>38</v>
      </c>
      <c r="BM92" s="79" t="s">
        <v>38</v>
      </c>
      <c r="BN92" s="79" t="s">
        <v>38</v>
      </c>
      <c r="BO92" s="79" t="s">
        <v>38</v>
      </c>
      <c r="BP92" s="79" t="s">
        <v>38</v>
      </c>
      <c r="BQ92" s="79" t="s">
        <v>38</v>
      </c>
      <c r="BR92" s="79" t="s">
        <v>38</v>
      </c>
      <c r="BS92" s="79" t="s">
        <v>38</v>
      </c>
      <c r="BT92" s="79" t="s">
        <v>38</v>
      </c>
      <c r="BU92" s="79" t="s">
        <v>38</v>
      </c>
      <c r="BV92" s="79" t="s">
        <v>38</v>
      </c>
      <c r="BW92" s="79" t="s">
        <v>38</v>
      </c>
      <c r="BX92" s="79" t="s">
        <v>38</v>
      </c>
      <c r="BY92" s="78" t="s">
        <v>38</v>
      </c>
      <c r="BZ92" s="79" t="s">
        <v>38</v>
      </c>
      <c r="CA92" s="90" t="s">
        <v>38</v>
      </c>
    </row>
    <row r="93" spans="1:79">
      <c r="A93" s="64">
        <v>64</v>
      </c>
      <c r="B93" s="82">
        <v>254546.275371</v>
      </c>
      <c r="C93" s="82">
        <v>4505618.8425099999</v>
      </c>
      <c r="D93" s="78" t="s">
        <v>38</v>
      </c>
      <c r="E93" s="79" t="s">
        <v>38</v>
      </c>
      <c r="F93" s="79" t="s">
        <v>38</v>
      </c>
      <c r="G93" s="79" t="s">
        <v>38</v>
      </c>
      <c r="H93" s="79" t="s">
        <v>38</v>
      </c>
      <c r="I93" s="79" t="s">
        <v>38</v>
      </c>
      <c r="J93" s="79" t="s">
        <v>38</v>
      </c>
      <c r="K93" s="79" t="s">
        <v>38</v>
      </c>
      <c r="L93" s="79" t="s">
        <v>38</v>
      </c>
      <c r="M93" s="79" t="s">
        <v>38</v>
      </c>
      <c r="N93" s="79" t="s">
        <v>38</v>
      </c>
      <c r="O93" s="79" t="s">
        <v>38</v>
      </c>
      <c r="P93" s="79" t="s">
        <v>38</v>
      </c>
      <c r="Q93" s="79" t="s">
        <v>38</v>
      </c>
      <c r="R93" s="79" t="s">
        <v>38</v>
      </c>
      <c r="S93" s="79" t="s">
        <v>38</v>
      </c>
      <c r="T93" s="79" t="s">
        <v>38</v>
      </c>
      <c r="U93" s="79" t="s">
        <v>38</v>
      </c>
      <c r="V93" s="79" t="s">
        <v>38</v>
      </c>
      <c r="W93" s="79" t="s">
        <v>38</v>
      </c>
      <c r="X93" s="79" t="s">
        <v>38</v>
      </c>
      <c r="Y93" s="79" t="s">
        <v>38</v>
      </c>
      <c r="Z93" s="79" t="s">
        <v>38</v>
      </c>
      <c r="AA93" s="79" t="s">
        <v>38</v>
      </c>
      <c r="AB93" s="79" t="s">
        <v>38</v>
      </c>
      <c r="AC93" s="79" t="s">
        <v>38</v>
      </c>
      <c r="AD93" s="79" t="s">
        <v>38</v>
      </c>
      <c r="AE93" s="79" t="s">
        <v>38</v>
      </c>
      <c r="AF93" s="79" t="s">
        <v>38</v>
      </c>
      <c r="AG93" s="79" t="s">
        <v>38</v>
      </c>
      <c r="AH93" s="79" t="s">
        <v>38</v>
      </c>
      <c r="AI93" s="79" t="s">
        <v>38</v>
      </c>
      <c r="AJ93" s="79" t="s">
        <v>38</v>
      </c>
      <c r="AK93" s="79" t="s">
        <v>38</v>
      </c>
      <c r="AL93" s="79" t="s">
        <v>38</v>
      </c>
      <c r="AM93" s="79" t="s">
        <v>38</v>
      </c>
      <c r="AN93" s="79" t="s">
        <v>38</v>
      </c>
      <c r="AO93" s="79" t="s">
        <v>38</v>
      </c>
      <c r="AP93" s="79" t="s">
        <v>38</v>
      </c>
      <c r="AQ93" s="79" t="s">
        <v>38</v>
      </c>
      <c r="AR93" s="79" t="s">
        <v>38</v>
      </c>
      <c r="AS93" s="79" t="s">
        <v>38</v>
      </c>
      <c r="AT93" s="79" t="s">
        <v>38</v>
      </c>
      <c r="AU93" s="79" t="s">
        <v>38</v>
      </c>
      <c r="AV93" s="79" t="s">
        <v>38</v>
      </c>
      <c r="AW93" s="79" t="s">
        <v>38</v>
      </c>
      <c r="AX93" s="79" t="s">
        <v>38</v>
      </c>
      <c r="AY93" s="79" t="s">
        <v>38</v>
      </c>
      <c r="AZ93" s="79" t="s">
        <v>38</v>
      </c>
      <c r="BA93" s="79" t="s">
        <v>38</v>
      </c>
      <c r="BB93" s="79" t="s">
        <v>38</v>
      </c>
      <c r="BC93" s="79" t="s">
        <v>38</v>
      </c>
      <c r="BD93" s="79" t="s">
        <v>38</v>
      </c>
      <c r="BE93" s="79" t="s">
        <v>38</v>
      </c>
      <c r="BF93" s="79" t="s">
        <v>38</v>
      </c>
      <c r="BG93" s="79" t="s">
        <v>38</v>
      </c>
      <c r="BH93" s="79" t="s">
        <v>38</v>
      </c>
      <c r="BI93" s="79" t="s">
        <v>38</v>
      </c>
      <c r="BJ93" s="79" t="s">
        <v>38</v>
      </c>
      <c r="BK93" s="79" t="s">
        <v>38</v>
      </c>
      <c r="BL93" s="79" t="s">
        <v>38</v>
      </c>
      <c r="BM93" s="79" t="s">
        <v>38</v>
      </c>
      <c r="BN93" s="79" t="s">
        <v>38</v>
      </c>
      <c r="BO93" s="79" t="s">
        <v>38</v>
      </c>
      <c r="BP93" s="79" t="s">
        <v>38</v>
      </c>
      <c r="BQ93" s="79" t="s">
        <v>38</v>
      </c>
      <c r="BR93" s="79" t="s">
        <v>38</v>
      </c>
      <c r="BS93" s="79" t="s">
        <v>38</v>
      </c>
      <c r="BT93" s="79" t="s">
        <v>38</v>
      </c>
      <c r="BU93" s="79" t="s">
        <v>38</v>
      </c>
      <c r="BV93" s="79" t="s">
        <v>38</v>
      </c>
      <c r="BW93" s="79" t="s">
        <v>38</v>
      </c>
      <c r="BX93" s="79" t="s">
        <v>38</v>
      </c>
      <c r="BY93" s="78" t="s">
        <v>38</v>
      </c>
      <c r="BZ93" s="79" t="s">
        <v>38</v>
      </c>
      <c r="CA93" s="90" t="s">
        <v>38</v>
      </c>
    </row>
    <row r="94" spans="1:79">
      <c r="A94" s="64">
        <v>65</v>
      </c>
      <c r="B94" s="82">
        <v>254565.06507300001</v>
      </c>
      <c r="C94" s="82">
        <v>4505658.6095899995</v>
      </c>
      <c r="D94" s="78">
        <v>0.1</v>
      </c>
      <c r="E94" s="78">
        <v>0.248</v>
      </c>
      <c r="F94" s="79">
        <v>0.2445</v>
      </c>
      <c r="G94" s="79">
        <v>0.2485</v>
      </c>
      <c r="H94" s="79">
        <v>0.22500000000000001</v>
      </c>
      <c r="I94" s="79">
        <v>0.20550000000000002</v>
      </c>
      <c r="J94" s="79">
        <v>0.20949999999999999</v>
      </c>
      <c r="K94" s="79">
        <v>0.17499999999999999</v>
      </c>
      <c r="L94" s="79">
        <v>0.17749999999999999</v>
      </c>
      <c r="M94" s="79">
        <v>0.16</v>
      </c>
      <c r="N94" s="67">
        <v>0.16400000000000001</v>
      </c>
      <c r="O94" s="67">
        <v>0.159</v>
      </c>
      <c r="P94" s="67">
        <v>0.16</v>
      </c>
      <c r="Q94" s="67">
        <v>0.1515</v>
      </c>
      <c r="R94" s="67">
        <v>0.17399999999999999</v>
      </c>
      <c r="S94" s="67" t="s">
        <v>38</v>
      </c>
      <c r="T94" s="40">
        <v>0.25600000000000001</v>
      </c>
      <c r="U94" s="40">
        <v>0.247</v>
      </c>
      <c r="V94" s="40">
        <v>0.27100000000000002</v>
      </c>
      <c r="W94" s="40">
        <v>0.26400000000000001</v>
      </c>
      <c r="X94" s="40">
        <v>0.25700000000000001</v>
      </c>
      <c r="Y94" s="40">
        <v>0.249</v>
      </c>
      <c r="Z94" s="40">
        <v>0.26400000000000001</v>
      </c>
      <c r="AA94" s="40">
        <v>0.26200000000000001</v>
      </c>
      <c r="AB94" s="40">
        <v>0.26900000000000002</v>
      </c>
      <c r="AC94" s="40">
        <v>0.35699999999999998</v>
      </c>
      <c r="AD94" s="40">
        <v>0.247</v>
      </c>
      <c r="AE94" s="40">
        <v>0.249</v>
      </c>
      <c r="AF94" s="40">
        <v>0.20699999999999999</v>
      </c>
      <c r="AG94" s="40">
        <v>0.23</v>
      </c>
      <c r="AH94" s="40">
        <v>0.189</v>
      </c>
      <c r="AI94" s="40">
        <v>0.21099999999999999</v>
      </c>
      <c r="AJ94" s="40">
        <v>0.184</v>
      </c>
      <c r="AK94" s="40">
        <v>0.17299999999999999</v>
      </c>
      <c r="AL94" s="40">
        <v>0.14899999999999999</v>
      </c>
      <c r="AM94" s="40">
        <v>0.30199999999999999</v>
      </c>
      <c r="AN94" s="40">
        <v>0.24099999999999999</v>
      </c>
      <c r="AO94" s="40">
        <v>0.19500000000000001</v>
      </c>
      <c r="AP94" s="79" t="s">
        <v>38</v>
      </c>
      <c r="AQ94" s="40">
        <v>0.23699999999999999</v>
      </c>
      <c r="AR94" s="40">
        <v>0.23599999999999999</v>
      </c>
      <c r="AS94" s="40">
        <v>0.224</v>
      </c>
      <c r="AT94" s="40">
        <v>0.22</v>
      </c>
      <c r="AU94" s="40">
        <v>0.2</v>
      </c>
      <c r="AV94" s="40">
        <v>0.21099999999999999</v>
      </c>
      <c r="AW94" s="40">
        <v>0.14399999999999999</v>
      </c>
      <c r="AX94" s="40">
        <v>0.16600000000000001</v>
      </c>
      <c r="AY94" s="40">
        <v>0.187</v>
      </c>
      <c r="AZ94" s="40">
        <v>0.187</v>
      </c>
      <c r="BA94" s="40">
        <v>0.17</v>
      </c>
      <c r="BB94" s="49">
        <v>0.126</v>
      </c>
      <c r="BC94" s="40">
        <v>0.17549999999999999</v>
      </c>
      <c r="BD94" s="50">
        <v>0.1855</v>
      </c>
      <c r="BE94" s="79" t="s">
        <v>38</v>
      </c>
      <c r="BF94" s="58" t="s">
        <v>38</v>
      </c>
      <c r="BG94" s="40">
        <v>0.24199999999999999</v>
      </c>
      <c r="BH94" s="38">
        <v>0.219</v>
      </c>
      <c r="BI94" s="38">
        <v>0.22800000000000001</v>
      </c>
      <c r="BJ94" s="38">
        <v>0.249</v>
      </c>
      <c r="BK94" s="38">
        <v>0.23499999999999999</v>
      </c>
      <c r="BL94" s="38">
        <v>0.23499999999999999</v>
      </c>
      <c r="BM94" s="38">
        <v>0.2505</v>
      </c>
      <c r="BN94" s="39" t="s">
        <v>38</v>
      </c>
      <c r="BO94" s="40">
        <v>0.2445</v>
      </c>
      <c r="BP94" s="38">
        <v>0.247</v>
      </c>
      <c r="BQ94" s="38">
        <v>0.20449999999999999</v>
      </c>
      <c r="BR94" s="41">
        <v>0.20350000000000001</v>
      </c>
      <c r="BS94" s="15" t="s">
        <v>38</v>
      </c>
      <c r="BT94" s="41">
        <v>0.193</v>
      </c>
      <c r="BU94" s="42">
        <v>0.19</v>
      </c>
      <c r="BV94" s="41">
        <v>0.19350000000000001</v>
      </c>
      <c r="BW94" s="42">
        <v>0.20450000000000002</v>
      </c>
      <c r="BX94" s="79" t="s">
        <v>38</v>
      </c>
      <c r="BY94" s="85">
        <f>(0.281+0.283)/2</f>
        <v>0.28200000000000003</v>
      </c>
      <c r="BZ94" s="85">
        <f>(0.35+0.33)/2</f>
        <v>0.33999999999999997</v>
      </c>
      <c r="CA94" s="90">
        <v>0.27550000000000002</v>
      </c>
    </row>
    <row r="95" spans="1:79">
      <c r="A95" s="64">
        <v>66</v>
      </c>
      <c r="B95" s="82">
        <v>254555.697189</v>
      </c>
      <c r="C95" s="82">
        <v>4505682.2836199999</v>
      </c>
      <c r="D95" s="78" t="s">
        <v>38</v>
      </c>
      <c r="E95" s="79" t="s">
        <v>38</v>
      </c>
      <c r="F95" s="79" t="s">
        <v>38</v>
      </c>
      <c r="G95" s="79" t="s">
        <v>38</v>
      </c>
      <c r="H95" s="79" t="s">
        <v>38</v>
      </c>
      <c r="I95" s="79" t="s">
        <v>38</v>
      </c>
      <c r="J95" s="79" t="s">
        <v>38</v>
      </c>
      <c r="K95" s="79" t="s">
        <v>38</v>
      </c>
      <c r="L95" s="79" t="s">
        <v>38</v>
      </c>
      <c r="M95" s="79" t="s">
        <v>38</v>
      </c>
      <c r="N95" s="79" t="s">
        <v>38</v>
      </c>
      <c r="O95" s="79" t="s">
        <v>38</v>
      </c>
      <c r="P95" s="79" t="s">
        <v>38</v>
      </c>
      <c r="Q95" s="79" t="s">
        <v>38</v>
      </c>
      <c r="R95" s="79" t="s">
        <v>38</v>
      </c>
      <c r="S95" s="79" t="s">
        <v>38</v>
      </c>
      <c r="T95" s="79" t="s">
        <v>38</v>
      </c>
      <c r="U95" s="79" t="s">
        <v>38</v>
      </c>
      <c r="V95" s="79" t="s">
        <v>38</v>
      </c>
      <c r="W95" s="79" t="s">
        <v>38</v>
      </c>
      <c r="X95" s="79" t="s">
        <v>38</v>
      </c>
      <c r="Y95" s="79" t="s">
        <v>38</v>
      </c>
      <c r="Z95" s="79" t="s">
        <v>38</v>
      </c>
      <c r="AA95" s="79" t="s">
        <v>38</v>
      </c>
      <c r="AB95" s="79" t="s">
        <v>38</v>
      </c>
      <c r="AC95" s="79" t="s">
        <v>38</v>
      </c>
      <c r="AD95" s="79" t="s">
        <v>38</v>
      </c>
      <c r="AE95" s="79" t="s">
        <v>38</v>
      </c>
      <c r="AF95" s="79" t="s">
        <v>38</v>
      </c>
      <c r="AG95" s="79" t="s">
        <v>38</v>
      </c>
      <c r="AH95" s="79" t="s">
        <v>38</v>
      </c>
      <c r="AI95" s="79" t="s">
        <v>38</v>
      </c>
      <c r="AJ95" s="79" t="s">
        <v>38</v>
      </c>
      <c r="AK95" s="79" t="s">
        <v>38</v>
      </c>
      <c r="AL95" s="79" t="s">
        <v>38</v>
      </c>
      <c r="AM95" s="79" t="s">
        <v>38</v>
      </c>
      <c r="AN95" s="79" t="s">
        <v>38</v>
      </c>
      <c r="AO95" s="79" t="s">
        <v>38</v>
      </c>
      <c r="AP95" s="79" t="s">
        <v>38</v>
      </c>
      <c r="AQ95" s="79" t="s">
        <v>38</v>
      </c>
      <c r="AR95" s="79" t="s">
        <v>38</v>
      </c>
      <c r="AS95" s="79" t="s">
        <v>38</v>
      </c>
      <c r="AT95" s="79" t="s">
        <v>38</v>
      </c>
      <c r="AU95" s="79" t="s">
        <v>38</v>
      </c>
      <c r="AV95" s="79" t="s">
        <v>38</v>
      </c>
      <c r="AW95" s="79" t="s">
        <v>38</v>
      </c>
      <c r="AX95" s="79" t="s">
        <v>38</v>
      </c>
      <c r="AY95" s="79" t="s">
        <v>38</v>
      </c>
      <c r="AZ95" s="79" t="s">
        <v>38</v>
      </c>
      <c r="BA95" s="79" t="s">
        <v>38</v>
      </c>
      <c r="BB95" s="79" t="s">
        <v>38</v>
      </c>
      <c r="BC95" s="79" t="s">
        <v>38</v>
      </c>
      <c r="BD95" s="79" t="s">
        <v>38</v>
      </c>
      <c r="BE95" s="79" t="s">
        <v>38</v>
      </c>
      <c r="BF95" s="79" t="s">
        <v>38</v>
      </c>
      <c r="BG95" s="79" t="s">
        <v>38</v>
      </c>
      <c r="BH95" s="79" t="s">
        <v>38</v>
      </c>
      <c r="BI95" s="79" t="s">
        <v>38</v>
      </c>
      <c r="BJ95" s="79" t="s">
        <v>38</v>
      </c>
      <c r="BK95" s="79" t="s">
        <v>38</v>
      </c>
      <c r="BL95" s="79" t="s">
        <v>38</v>
      </c>
      <c r="BM95" s="79" t="s">
        <v>38</v>
      </c>
      <c r="BN95" s="79" t="s">
        <v>38</v>
      </c>
      <c r="BO95" s="79" t="s">
        <v>38</v>
      </c>
      <c r="BP95" s="79" t="s">
        <v>38</v>
      </c>
      <c r="BQ95" s="79" t="s">
        <v>38</v>
      </c>
      <c r="BR95" s="79" t="s">
        <v>38</v>
      </c>
      <c r="BS95" s="79" t="s">
        <v>38</v>
      </c>
      <c r="BT95" s="79" t="s">
        <v>38</v>
      </c>
      <c r="BU95" s="79" t="s">
        <v>38</v>
      </c>
      <c r="BV95" s="79" t="s">
        <v>38</v>
      </c>
      <c r="BW95" s="79" t="s">
        <v>38</v>
      </c>
      <c r="BX95" s="79" t="s">
        <v>38</v>
      </c>
      <c r="BY95" s="78" t="s">
        <v>38</v>
      </c>
      <c r="BZ95" s="79" t="s">
        <v>38</v>
      </c>
      <c r="CA95" s="90" t="s">
        <v>38</v>
      </c>
    </row>
    <row r="96" spans="1:79">
      <c r="A96" s="64">
        <v>67</v>
      </c>
      <c r="B96" s="82">
        <v>254555.67023700001</v>
      </c>
      <c r="C96" s="82">
        <v>4505716.0668700002</v>
      </c>
      <c r="D96" s="65" t="s">
        <v>38</v>
      </c>
      <c r="E96" s="65" t="s">
        <v>38</v>
      </c>
      <c r="F96" s="65" t="s">
        <v>38</v>
      </c>
      <c r="G96" s="65" t="s">
        <v>38</v>
      </c>
      <c r="H96" s="65" t="s">
        <v>38</v>
      </c>
      <c r="I96" s="65" t="s">
        <v>38</v>
      </c>
      <c r="J96" s="65" t="s">
        <v>38</v>
      </c>
      <c r="K96" s="65" t="s">
        <v>38</v>
      </c>
      <c r="L96" s="65" t="s">
        <v>38</v>
      </c>
      <c r="M96" s="65" t="s">
        <v>38</v>
      </c>
      <c r="N96" s="65" t="s">
        <v>38</v>
      </c>
      <c r="O96" s="65" t="s">
        <v>38</v>
      </c>
      <c r="P96" s="65" t="s">
        <v>38</v>
      </c>
      <c r="Q96" s="65" t="s">
        <v>38</v>
      </c>
      <c r="R96" s="65" t="s">
        <v>38</v>
      </c>
      <c r="S96" s="65" t="s">
        <v>38</v>
      </c>
      <c r="T96" s="65" t="s">
        <v>38</v>
      </c>
      <c r="U96" s="65" t="s">
        <v>38</v>
      </c>
      <c r="V96" s="65" t="s">
        <v>38</v>
      </c>
      <c r="W96" s="65" t="s">
        <v>38</v>
      </c>
      <c r="X96" s="65" t="s">
        <v>38</v>
      </c>
      <c r="Y96" s="65" t="s">
        <v>38</v>
      </c>
      <c r="Z96" s="65" t="s">
        <v>38</v>
      </c>
      <c r="AA96" s="65" t="s">
        <v>38</v>
      </c>
      <c r="AB96" s="65" t="s">
        <v>38</v>
      </c>
      <c r="AC96" s="65" t="s">
        <v>38</v>
      </c>
      <c r="AD96" s="65" t="s">
        <v>38</v>
      </c>
      <c r="AE96" s="65" t="s">
        <v>38</v>
      </c>
      <c r="AF96" s="65" t="s">
        <v>38</v>
      </c>
      <c r="AG96" s="65" t="s">
        <v>38</v>
      </c>
      <c r="AH96" s="65" t="s">
        <v>38</v>
      </c>
      <c r="AI96" s="65" t="s">
        <v>38</v>
      </c>
      <c r="AJ96" s="65" t="s">
        <v>38</v>
      </c>
      <c r="AK96" s="65" t="s">
        <v>38</v>
      </c>
      <c r="AL96" s="65" t="s">
        <v>38</v>
      </c>
      <c r="AM96" s="65" t="s">
        <v>38</v>
      </c>
      <c r="AN96" s="65" t="s">
        <v>38</v>
      </c>
      <c r="AO96" s="65" t="s">
        <v>38</v>
      </c>
      <c r="AP96" s="79" t="s">
        <v>38</v>
      </c>
      <c r="AQ96" s="65" t="s">
        <v>38</v>
      </c>
      <c r="AR96" s="65" t="s">
        <v>38</v>
      </c>
      <c r="AS96" s="65" t="s">
        <v>38</v>
      </c>
      <c r="AT96" s="65" t="s">
        <v>38</v>
      </c>
      <c r="AU96" s="65" t="s">
        <v>38</v>
      </c>
      <c r="AV96" s="65" t="s">
        <v>38</v>
      </c>
      <c r="AW96" s="65" t="s">
        <v>38</v>
      </c>
      <c r="AX96" s="65" t="s">
        <v>38</v>
      </c>
      <c r="AY96" s="65" t="s">
        <v>38</v>
      </c>
      <c r="AZ96" s="65" t="s">
        <v>38</v>
      </c>
      <c r="BA96" s="65" t="s">
        <v>38</v>
      </c>
      <c r="BB96" s="65" t="s">
        <v>38</v>
      </c>
      <c r="BC96" s="65" t="s">
        <v>38</v>
      </c>
      <c r="BD96" s="65" t="s">
        <v>38</v>
      </c>
      <c r="BE96" s="65" t="s">
        <v>38</v>
      </c>
      <c r="BF96" s="65" t="s">
        <v>38</v>
      </c>
      <c r="BG96" s="65" t="s">
        <v>38</v>
      </c>
      <c r="BH96" s="65" t="s">
        <v>38</v>
      </c>
      <c r="BI96" s="65" t="s">
        <v>38</v>
      </c>
      <c r="BJ96" s="65" t="s">
        <v>38</v>
      </c>
      <c r="BK96" s="65" t="s">
        <v>38</v>
      </c>
      <c r="BL96" s="65" t="s">
        <v>38</v>
      </c>
      <c r="BM96" s="65" t="s">
        <v>38</v>
      </c>
      <c r="BN96" s="65" t="s">
        <v>38</v>
      </c>
      <c r="BO96" s="65" t="s">
        <v>38</v>
      </c>
      <c r="BP96" s="65" t="s">
        <v>38</v>
      </c>
      <c r="BQ96" s="65" t="s">
        <v>38</v>
      </c>
      <c r="BR96" s="65" t="s">
        <v>38</v>
      </c>
      <c r="BS96" s="65" t="s">
        <v>38</v>
      </c>
      <c r="BT96" s="65" t="s">
        <v>38</v>
      </c>
      <c r="BU96" s="65" t="s">
        <v>38</v>
      </c>
      <c r="BV96" s="65" t="s">
        <v>38</v>
      </c>
      <c r="BW96" s="65" t="s">
        <v>38</v>
      </c>
      <c r="BX96" s="65" t="s">
        <v>38</v>
      </c>
      <c r="BY96" s="78" t="s">
        <v>38</v>
      </c>
      <c r="BZ96" s="85" t="s">
        <v>38</v>
      </c>
      <c r="CA96" s="86" t="s">
        <v>38</v>
      </c>
    </row>
    <row r="97" spans="1:79">
      <c r="A97" s="64">
        <v>68</v>
      </c>
      <c r="B97" s="82">
        <v>254550.90865100001</v>
      </c>
      <c r="C97" s="82">
        <v>4505648.5313400002</v>
      </c>
      <c r="D97" s="65" t="s">
        <v>38</v>
      </c>
      <c r="E97" s="65" t="s">
        <v>38</v>
      </c>
      <c r="F97" s="65" t="s">
        <v>38</v>
      </c>
      <c r="G97" s="65" t="s">
        <v>38</v>
      </c>
      <c r="H97" s="65" t="s">
        <v>38</v>
      </c>
      <c r="I97" s="65" t="s">
        <v>38</v>
      </c>
      <c r="J97" s="65" t="s">
        <v>38</v>
      </c>
      <c r="K97" s="65" t="s">
        <v>38</v>
      </c>
      <c r="L97" s="65" t="s">
        <v>38</v>
      </c>
      <c r="M97" s="65" t="s">
        <v>38</v>
      </c>
      <c r="N97" s="65" t="s">
        <v>38</v>
      </c>
      <c r="O97" s="65" t="s">
        <v>38</v>
      </c>
      <c r="P97" s="65" t="s">
        <v>38</v>
      </c>
      <c r="Q97" s="65" t="s">
        <v>38</v>
      </c>
      <c r="R97" s="65" t="s">
        <v>38</v>
      </c>
      <c r="S97" s="65" t="s">
        <v>38</v>
      </c>
      <c r="T97" s="65" t="s">
        <v>38</v>
      </c>
      <c r="U97" s="65" t="s">
        <v>38</v>
      </c>
      <c r="V97" s="65" t="s">
        <v>38</v>
      </c>
      <c r="W97" s="65" t="s">
        <v>38</v>
      </c>
      <c r="X97" s="65" t="s">
        <v>38</v>
      </c>
      <c r="Y97" s="65" t="s">
        <v>38</v>
      </c>
      <c r="Z97" s="65" t="s">
        <v>38</v>
      </c>
      <c r="AA97" s="65" t="s">
        <v>38</v>
      </c>
      <c r="AB97" s="65" t="s">
        <v>38</v>
      </c>
      <c r="AC97" s="65" t="s">
        <v>38</v>
      </c>
      <c r="AD97" s="65" t="s">
        <v>38</v>
      </c>
      <c r="AE97" s="65" t="s">
        <v>38</v>
      </c>
      <c r="AF97" s="65" t="s">
        <v>38</v>
      </c>
      <c r="AG97" s="65" t="s">
        <v>38</v>
      </c>
      <c r="AH97" s="65" t="s">
        <v>38</v>
      </c>
      <c r="AI97" s="65" t="s">
        <v>38</v>
      </c>
      <c r="AJ97" s="65" t="s">
        <v>38</v>
      </c>
      <c r="AK97" s="65" t="s">
        <v>38</v>
      </c>
      <c r="AL97" s="65" t="s">
        <v>38</v>
      </c>
      <c r="AM97" s="65" t="s">
        <v>38</v>
      </c>
      <c r="AN97" s="65" t="s">
        <v>38</v>
      </c>
      <c r="AO97" s="65" t="s">
        <v>38</v>
      </c>
      <c r="AP97" s="79" t="s">
        <v>38</v>
      </c>
      <c r="AQ97" s="65" t="s">
        <v>38</v>
      </c>
      <c r="AR97" s="65" t="s">
        <v>38</v>
      </c>
      <c r="AS97" s="65" t="s">
        <v>38</v>
      </c>
      <c r="AT97" s="65" t="s">
        <v>38</v>
      </c>
      <c r="AU97" s="65" t="s">
        <v>38</v>
      </c>
      <c r="AV97" s="65" t="s">
        <v>38</v>
      </c>
      <c r="AW97" s="65" t="s">
        <v>38</v>
      </c>
      <c r="AX97" s="65" t="s">
        <v>38</v>
      </c>
      <c r="AY97" s="65" t="s">
        <v>38</v>
      </c>
      <c r="AZ97" s="65" t="s">
        <v>38</v>
      </c>
      <c r="BA97" s="65" t="s">
        <v>38</v>
      </c>
      <c r="BB97" s="65" t="s">
        <v>38</v>
      </c>
      <c r="BC97" s="65" t="s">
        <v>38</v>
      </c>
      <c r="BD97" s="65" t="s">
        <v>38</v>
      </c>
      <c r="BE97" s="65" t="s">
        <v>38</v>
      </c>
      <c r="BF97" s="65" t="s">
        <v>38</v>
      </c>
      <c r="BG97" s="65" t="s">
        <v>38</v>
      </c>
      <c r="BH97" s="65" t="s">
        <v>38</v>
      </c>
      <c r="BI97" s="65" t="s">
        <v>38</v>
      </c>
      <c r="BJ97" s="65" t="s">
        <v>38</v>
      </c>
      <c r="BK97" s="65" t="s">
        <v>38</v>
      </c>
      <c r="BL97" s="65" t="s">
        <v>38</v>
      </c>
      <c r="BM97" s="65" t="s">
        <v>38</v>
      </c>
      <c r="BN97" s="65" t="s">
        <v>38</v>
      </c>
      <c r="BO97" s="65" t="s">
        <v>38</v>
      </c>
      <c r="BP97" s="65" t="s">
        <v>38</v>
      </c>
      <c r="BQ97" s="65" t="s">
        <v>38</v>
      </c>
      <c r="BR97" s="65" t="s">
        <v>38</v>
      </c>
      <c r="BS97" s="65" t="s">
        <v>38</v>
      </c>
      <c r="BT97" s="65" t="s">
        <v>38</v>
      </c>
      <c r="BU97" s="65" t="s">
        <v>38</v>
      </c>
      <c r="BV97" s="65" t="s">
        <v>38</v>
      </c>
      <c r="BW97" s="65" t="s">
        <v>38</v>
      </c>
      <c r="BX97" s="65" t="s">
        <v>38</v>
      </c>
      <c r="BY97" s="78" t="s">
        <v>38</v>
      </c>
      <c r="BZ97" s="85" t="s">
        <v>38</v>
      </c>
      <c r="CA97" s="86" t="s">
        <v>38</v>
      </c>
    </row>
    <row r="98" spans="1:79">
      <c r="A98" s="64">
        <v>69</v>
      </c>
      <c r="B98" s="83">
        <v>254597.82972499999</v>
      </c>
      <c r="C98" s="83">
        <v>4505663.6450399999</v>
      </c>
      <c r="D98" s="78" t="s">
        <v>38</v>
      </c>
      <c r="E98" s="79" t="s">
        <v>38</v>
      </c>
      <c r="F98" s="79" t="s">
        <v>38</v>
      </c>
      <c r="G98" s="79" t="s">
        <v>38</v>
      </c>
      <c r="H98" s="79" t="s">
        <v>38</v>
      </c>
      <c r="I98" s="79" t="s">
        <v>38</v>
      </c>
      <c r="J98" s="79" t="s">
        <v>38</v>
      </c>
      <c r="K98" s="79" t="s">
        <v>38</v>
      </c>
      <c r="L98" s="79" t="s">
        <v>38</v>
      </c>
      <c r="M98" s="79" t="s">
        <v>38</v>
      </c>
      <c r="N98" s="79" t="s">
        <v>38</v>
      </c>
      <c r="O98" s="79" t="s">
        <v>38</v>
      </c>
      <c r="P98" s="79" t="s">
        <v>38</v>
      </c>
      <c r="Q98" s="79" t="s">
        <v>38</v>
      </c>
      <c r="R98" s="79" t="s">
        <v>38</v>
      </c>
      <c r="S98" s="79" t="s">
        <v>38</v>
      </c>
      <c r="T98" s="79" t="s">
        <v>38</v>
      </c>
      <c r="U98" s="79" t="s">
        <v>38</v>
      </c>
      <c r="V98" s="79" t="s">
        <v>38</v>
      </c>
      <c r="W98" s="79" t="s">
        <v>38</v>
      </c>
      <c r="X98" s="79" t="s">
        <v>38</v>
      </c>
      <c r="Y98" s="79" t="s">
        <v>38</v>
      </c>
      <c r="Z98" s="79" t="s">
        <v>38</v>
      </c>
      <c r="AA98" s="79" t="s">
        <v>38</v>
      </c>
      <c r="AB98" s="79" t="s">
        <v>38</v>
      </c>
      <c r="AC98" s="79" t="s">
        <v>38</v>
      </c>
      <c r="AD98" s="79" t="s">
        <v>38</v>
      </c>
      <c r="AE98" s="79" t="s">
        <v>38</v>
      </c>
      <c r="AF98" s="79" t="s">
        <v>38</v>
      </c>
      <c r="AG98" s="79" t="s">
        <v>38</v>
      </c>
      <c r="AH98" s="79" t="s">
        <v>38</v>
      </c>
      <c r="AI98" s="79" t="s">
        <v>38</v>
      </c>
      <c r="AJ98" s="79" t="s">
        <v>38</v>
      </c>
      <c r="AK98" s="79" t="s">
        <v>38</v>
      </c>
      <c r="AL98" s="79" t="s">
        <v>38</v>
      </c>
      <c r="AM98" s="79" t="s">
        <v>38</v>
      </c>
      <c r="AN98" s="79" t="s">
        <v>38</v>
      </c>
      <c r="AO98" s="79" t="s">
        <v>38</v>
      </c>
      <c r="AP98" s="79" t="s">
        <v>38</v>
      </c>
      <c r="AQ98" s="79" t="s">
        <v>38</v>
      </c>
      <c r="AR98" s="79" t="s">
        <v>38</v>
      </c>
      <c r="AS98" s="79" t="s">
        <v>38</v>
      </c>
      <c r="AT98" s="79" t="s">
        <v>38</v>
      </c>
      <c r="AU98" s="79" t="s">
        <v>38</v>
      </c>
      <c r="AV98" s="79" t="s">
        <v>38</v>
      </c>
      <c r="AW98" s="79" t="s">
        <v>38</v>
      </c>
      <c r="AX98" s="79" t="s">
        <v>38</v>
      </c>
      <c r="AY98" s="79" t="s">
        <v>38</v>
      </c>
      <c r="AZ98" s="79" t="s">
        <v>38</v>
      </c>
      <c r="BA98" s="79" t="s">
        <v>38</v>
      </c>
      <c r="BB98" s="79" t="s">
        <v>38</v>
      </c>
      <c r="BC98" s="79" t="s">
        <v>38</v>
      </c>
      <c r="BD98" s="79" t="s">
        <v>38</v>
      </c>
      <c r="BE98" s="79" t="s">
        <v>38</v>
      </c>
      <c r="BF98" s="79" t="s">
        <v>38</v>
      </c>
      <c r="BG98" s="79" t="s">
        <v>38</v>
      </c>
      <c r="BH98" s="79" t="s">
        <v>38</v>
      </c>
      <c r="BI98" s="79" t="s">
        <v>38</v>
      </c>
      <c r="BJ98" s="79" t="s">
        <v>38</v>
      </c>
      <c r="BK98" s="79" t="s">
        <v>38</v>
      </c>
      <c r="BL98" s="79" t="s">
        <v>38</v>
      </c>
      <c r="BM98" s="79" t="s">
        <v>38</v>
      </c>
      <c r="BN98" s="79" t="s">
        <v>38</v>
      </c>
      <c r="BO98" s="79" t="s">
        <v>38</v>
      </c>
      <c r="BP98" s="79" t="s">
        <v>38</v>
      </c>
      <c r="BQ98" s="79" t="s">
        <v>38</v>
      </c>
      <c r="BR98" s="79" t="s">
        <v>38</v>
      </c>
      <c r="BS98" s="79" t="s">
        <v>38</v>
      </c>
      <c r="BT98" s="79" t="s">
        <v>38</v>
      </c>
      <c r="BU98" s="79" t="s">
        <v>38</v>
      </c>
      <c r="BV98" s="79" t="s">
        <v>38</v>
      </c>
      <c r="BW98" s="79" t="s">
        <v>38</v>
      </c>
      <c r="BX98" s="79" t="s">
        <v>38</v>
      </c>
      <c r="BY98" s="78" t="s">
        <v>38</v>
      </c>
      <c r="BZ98" s="79" t="s">
        <v>38</v>
      </c>
      <c r="CA98" s="90" t="s">
        <v>38</v>
      </c>
    </row>
    <row r="99" spans="1:79">
      <c r="A99" s="64">
        <v>70</v>
      </c>
      <c r="B99" s="82">
        <v>254634.17014</v>
      </c>
      <c r="C99" s="82">
        <v>4505678.18004</v>
      </c>
      <c r="D99" s="78">
        <v>0.35349999999999998</v>
      </c>
      <c r="E99" s="78">
        <v>0.33450000000000002</v>
      </c>
      <c r="F99" s="79">
        <v>0.35299999999999998</v>
      </c>
      <c r="G99" s="79">
        <v>0.35699999999999998</v>
      </c>
      <c r="H99" s="79">
        <v>0.33600000000000002</v>
      </c>
      <c r="I99" s="79">
        <v>0.28349999999999997</v>
      </c>
      <c r="J99" s="79">
        <v>0.28300000000000003</v>
      </c>
      <c r="K99" s="79">
        <v>0.19400000000000001</v>
      </c>
      <c r="L99" s="79">
        <v>0.22900000000000001</v>
      </c>
      <c r="M99" s="79">
        <v>0.20699999999999999</v>
      </c>
      <c r="N99" s="67">
        <v>0.20799999999999999</v>
      </c>
      <c r="O99" s="67">
        <v>0.21200000000000002</v>
      </c>
      <c r="P99" s="67">
        <v>0.20499999999999999</v>
      </c>
      <c r="Q99" s="67">
        <v>0.1925</v>
      </c>
      <c r="R99" s="67">
        <v>0.214</v>
      </c>
      <c r="S99" s="67">
        <v>0.2555</v>
      </c>
      <c r="T99" s="40">
        <v>0.39100000000000001</v>
      </c>
      <c r="U99" s="40">
        <v>0.38800000000000001</v>
      </c>
      <c r="V99" s="40">
        <v>0.39200000000000002</v>
      </c>
      <c r="W99" s="40">
        <v>0.437</v>
      </c>
      <c r="X99" s="40">
        <v>0.40500000000000003</v>
      </c>
      <c r="Y99" s="40">
        <v>0.39</v>
      </c>
      <c r="Z99" s="40">
        <v>0.40100000000000002</v>
      </c>
      <c r="AA99" s="40">
        <v>0.39200000000000002</v>
      </c>
      <c r="AB99" s="40">
        <v>0.41499999999999998</v>
      </c>
      <c r="AC99" s="40">
        <v>0.40300000000000002</v>
      </c>
      <c r="AD99" s="40">
        <v>0.40699999999999997</v>
      </c>
      <c r="AE99" s="40">
        <v>0.42099999999999999</v>
      </c>
      <c r="AF99" s="40">
        <v>0.26300000000000001</v>
      </c>
      <c r="AG99" s="40">
        <v>0.28199999999999997</v>
      </c>
      <c r="AH99" s="40">
        <v>0.24099999999999999</v>
      </c>
      <c r="AI99" s="40">
        <v>0.22900000000000001</v>
      </c>
      <c r="AJ99" s="40">
        <v>0.22</v>
      </c>
      <c r="AK99" s="40">
        <v>0.22700000000000001</v>
      </c>
      <c r="AL99" s="40" t="s">
        <v>38</v>
      </c>
      <c r="AM99" s="40">
        <v>0.26900000000000002</v>
      </c>
      <c r="AN99" s="40">
        <v>0.32900000000000001</v>
      </c>
      <c r="AO99" s="40">
        <v>0.26400000000000001</v>
      </c>
      <c r="AP99" s="79" t="s">
        <v>38</v>
      </c>
      <c r="AQ99" s="40">
        <v>0.32</v>
      </c>
      <c r="AR99" s="40">
        <v>0.30599999999999999</v>
      </c>
      <c r="AS99" s="40">
        <v>0.30099999999999999</v>
      </c>
      <c r="AT99" s="40">
        <v>0.28699999999999998</v>
      </c>
      <c r="AU99" s="40">
        <v>0.28000000000000003</v>
      </c>
      <c r="AV99" s="40">
        <v>0.25600000000000001</v>
      </c>
      <c r="AW99" s="40">
        <v>0.224</v>
      </c>
      <c r="AX99" s="40">
        <v>0.21299999999999999</v>
      </c>
      <c r="AY99" s="40">
        <v>0.18</v>
      </c>
      <c r="AZ99" s="40">
        <v>0.184</v>
      </c>
      <c r="BA99" s="40" t="s">
        <v>38</v>
      </c>
      <c r="BB99" s="49">
        <v>0.16600000000000001</v>
      </c>
      <c r="BC99" s="40">
        <v>0.22650000000000001</v>
      </c>
      <c r="BD99" s="50">
        <v>0.23399999999999999</v>
      </c>
      <c r="BE99" s="58" t="s">
        <v>38</v>
      </c>
      <c r="BF99" s="58" t="s">
        <v>38</v>
      </c>
      <c r="BG99" s="40">
        <v>0.2545</v>
      </c>
      <c r="BH99" s="38">
        <v>0.3115</v>
      </c>
      <c r="BI99" s="38">
        <v>0.35249999999999998</v>
      </c>
      <c r="BJ99" s="38">
        <v>0.35099999999999998</v>
      </c>
      <c r="BK99" s="38">
        <v>0.33900000000000002</v>
      </c>
      <c r="BL99" s="38">
        <v>0.33250000000000002</v>
      </c>
      <c r="BM99" s="38">
        <v>0.35749999999999998</v>
      </c>
      <c r="BN99" s="39" t="s">
        <v>38</v>
      </c>
      <c r="BO99" s="40">
        <v>0.35549999999999998</v>
      </c>
      <c r="BP99" s="38">
        <v>0.47050000000000003</v>
      </c>
      <c r="BQ99" s="38">
        <v>0.25950000000000001</v>
      </c>
      <c r="BR99" s="41">
        <v>0.26800000000000002</v>
      </c>
      <c r="BS99" s="79" t="s">
        <v>38</v>
      </c>
      <c r="BT99" s="41">
        <v>0.24399999999999999</v>
      </c>
      <c r="BU99" s="42">
        <v>0.24149999999999999</v>
      </c>
      <c r="BV99" s="41">
        <v>0.24049999999999999</v>
      </c>
      <c r="BW99" s="42">
        <v>0.23849999999999999</v>
      </c>
      <c r="BX99" s="42">
        <v>0.247</v>
      </c>
      <c r="BY99" s="85">
        <f>(0.371+0.355)/2</f>
        <v>0.36299999999999999</v>
      </c>
      <c r="BZ99" s="85">
        <f>(0.327+0.336)/2</f>
        <v>0.33150000000000002</v>
      </c>
      <c r="CA99" s="90">
        <v>0.46500000000000002</v>
      </c>
    </row>
    <row r="100" spans="1:79">
      <c r="A100" s="64">
        <v>71</v>
      </c>
      <c r="B100" s="82">
        <v>254591.99662699999</v>
      </c>
      <c r="C100" s="82">
        <v>4505692.3642499996</v>
      </c>
      <c r="D100" s="78" t="s">
        <v>38</v>
      </c>
      <c r="E100" s="79" t="s">
        <v>38</v>
      </c>
      <c r="F100" s="79" t="s">
        <v>38</v>
      </c>
      <c r="G100" s="79" t="s">
        <v>38</v>
      </c>
      <c r="H100" s="79" t="s">
        <v>38</v>
      </c>
      <c r="I100" s="79" t="s">
        <v>38</v>
      </c>
      <c r="J100" s="79" t="s">
        <v>38</v>
      </c>
      <c r="K100" s="79" t="s">
        <v>38</v>
      </c>
      <c r="L100" s="79" t="s">
        <v>38</v>
      </c>
      <c r="M100" s="79" t="s">
        <v>38</v>
      </c>
      <c r="N100" s="79" t="s">
        <v>38</v>
      </c>
      <c r="O100" s="79" t="s">
        <v>38</v>
      </c>
      <c r="P100" s="79" t="s">
        <v>38</v>
      </c>
      <c r="Q100" s="79" t="s">
        <v>38</v>
      </c>
      <c r="R100" s="79" t="s">
        <v>38</v>
      </c>
      <c r="S100" s="79" t="s">
        <v>38</v>
      </c>
      <c r="T100" s="79" t="s">
        <v>38</v>
      </c>
      <c r="U100" s="79" t="s">
        <v>38</v>
      </c>
      <c r="V100" s="79" t="s">
        <v>38</v>
      </c>
      <c r="W100" s="79" t="s">
        <v>38</v>
      </c>
      <c r="X100" s="79" t="s">
        <v>38</v>
      </c>
      <c r="Y100" s="79" t="s">
        <v>38</v>
      </c>
      <c r="Z100" s="79" t="s">
        <v>38</v>
      </c>
      <c r="AA100" s="79" t="s">
        <v>38</v>
      </c>
      <c r="AB100" s="79" t="s">
        <v>38</v>
      </c>
      <c r="AC100" s="79" t="s">
        <v>38</v>
      </c>
      <c r="AD100" s="79" t="s">
        <v>38</v>
      </c>
      <c r="AE100" s="79" t="s">
        <v>38</v>
      </c>
      <c r="AF100" s="79" t="s">
        <v>38</v>
      </c>
      <c r="AG100" s="79" t="s">
        <v>38</v>
      </c>
      <c r="AH100" s="79" t="s">
        <v>38</v>
      </c>
      <c r="AI100" s="79" t="s">
        <v>38</v>
      </c>
      <c r="AJ100" s="79" t="s">
        <v>38</v>
      </c>
      <c r="AK100" s="79" t="s">
        <v>38</v>
      </c>
      <c r="AL100" s="79" t="s">
        <v>38</v>
      </c>
      <c r="AM100" s="79" t="s">
        <v>38</v>
      </c>
      <c r="AN100" s="79" t="s">
        <v>38</v>
      </c>
      <c r="AO100" s="79" t="s">
        <v>38</v>
      </c>
      <c r="AP100" s="79" t="s">
        <v>38</v>
      </c>
      <c r="AQ100" s="79" t="s">
        <v>38</v>
      </c>
      <c r="AR100" s="79" t="s">
        <v>38</v>
      </c>
      <c r="AS100" s="79" t="s">
        <v>38</v>
      </c>
      <c r="AT100" s="79" t="s">
        <v>38</v>
      </c>
      <c r="AU100" s="79" t="s">
        <v>38</v>
      </c>
      <c r="AV100" s="79" t="s">
        <v>38</v>
      </c>
      <c r="AW100" s="79" t="s">
        <v>38</v>
      </c>
      <c r="AX100" s="79" t="s">
        <v>38</v>
      </c>
      <c r="AY100" s="79" t="s">
        <v>38</v>
      </c>
      <c r="AZ100" s="79" t="s">
        <v>38</v>
      </c>
      <c r="BA100" s="79" t="s">
        <v>38</v>
      </c>
      <c r="BB100" s="79" t="s">
        <v>38</v>
      </c>
      <c r="BC100" s="79" t="s">
        <v>38</v>
      </c>
      <c r="BD100" s="79" t="s">
        <v>38</v>
      </c>
      <c r="BE100" s="79" t="s">
        <v>38</v>
      </c>
      <c r="BF100" s="79" t="s">
        <v>38</v>
      </c>
      <c r="BG100" s="79" t="s">
        <v>38</v>
      </c>
      <c r="BH100" s="79" t="s">
        <v>38</v>
      </c>
      <c r="BI100" s="79" t="s">
        <v>38</v>
      </c>
      <c r="BJ100" s="79" t="s">
        <v>38</v>
      </c>
      <c r="BK100" s="79" t="s">
        <v>38</v>
      </c>
      <c r="BL100" s="79" t="s">
        <v>38</v>
      </c>
      <c r="BM100" s="79" t="s">
        <v>38</v>
      </c>
      <c r="BN100" s="79" t="s">
        <v>38</v>
      </c>
      <c r="BO100" s="79" t="s">
        <v>38</v>
      </c>
      <c r="BP100" s="79" t="s">
        <v>38</v>
      </c>
      <c r="BQ100" s="79" t="s">
        <v>38</v>
      </c>
      <c r="BR100" s="79" t="s">
        <v>38</v>
      </c>
      <c r="BS100" s="79" t="s">
        <v>38</v>
      </c>
      <c r="BT100" s="79" t="s">
        <v>38</v>
      </c>
      <c r="BU100" s="79" t="s">
        <v>38</v>
      </c>
      <c r="BV100" s="79" t="s">
        <v>38</v>
      </c>
      <c r="BW100" s="79" t="s">
        <v>38</v>
      </c>
      <c r="BX100" s="79" t="s">
        <v>38</v>
      </c>
      <c r="BY100" s="78" t="s">
        <v>38</v>
      </c>
      <c r="BZ100" s="79" t="s">
        <v>38</v>
      </c>
      <c r="CA100" s="90" t="s">
        <v>38</v>
      </c>
    </row>
    <row r="101" spans="1:79">
      <c r="A101" s="64">
        <v>72</v>
      </c>
      <c r="B101" s="82">
        <v>254645.76749900001</v>
      </c>
      <c r="C101" s="82">
        <v>4505710.0379499998</v>
      </c>
      <c r="D101" s="78" t="s">
        <v>38</v>
      </c>
      <c r="E101" s="79" t="s">
        <v>38</v>
      </c>
      <c r="F101" s="79" t="s">
        <v>38</v>
      </c>
      <c r="G101" s="79" t="s">
        <v>38</v>
      </c>
      <c r="H101" s="79" t="s">
        <v>38</v>
      </c>
      <c r="I101" s="79" t="s">
        <v>38</v>
      </c>
      <c r="J101" s="79" t="s">
        <v>38</v>
      </c>
      <c r="K101" s="79" t="s">
        <v>38</v>
      </c>
      <c r="L101" s="79" t="s">
        <v>38</v>
      </c>
      <c r="M101" s="79" t="s">
        <v>38</v>
      </c>
      <c r="N101" s="79" t="s">
        <v>38</v>
      </c>
      <c r="O101" s="79" t="s">
        <v>38</v>
      </c>
      <c r="P101" s="79" t="s">
        <v>38</v>
      </c>
      <c r="Q101" s="79" t="s">
        <v>38</v>
      </c>
      <c r="R101" s="79" t="s">
        <v>38</v>
      </c>
      <c r="S101" s="79" t="s">
        <v>38</v>
      </c>
      <c r="T101" s="79" t="s">
        <v>38</v>
      </c>
      <c r="U101" s="79" t="s">
        <v>38</v>
      </c>
      <c r="V101" s="79" t="s">
        <v>38</v>
      </c>
      <c r="W101" s="79" t="s">
        <v>38</v>
      </c>
      <c r="X101" s="79" t="s">
        <v>38</v>
      </c>
      <c r="Y101" s="79" t="s">
        <v>38</v>
      </c>
      <c r="Z101" s="79" t="s">
        <v>38</v>
      </c>
      <c r="AA101" s="79" t="s">
        <v>38</v>
      </c>
      <c r="AB101" s="79" t="s">
        <v>38</v>
      </c>
      <c r="AC101" s="79" t="s">
        <v>38</v>
      </c>
      <c r="AD101" s="79" t="s">
        <v>38</v>
      </c>
      <c r="AE101" s="79" t="s">
        <v>38</v>
      </c>
      <c r="AF101" s="79" t="s">
        <v>38</v>
      </c>
      <c r="AG101" s="79" t="s">
        <v>38</v>
      </c>
      <c r="AH101" s="79" t="s">
        <v>38</v>
      </c>
      <c r="AI101" s="79" t="s">
        <v>38</v>
      </c>
      <c r="AJ101" s="79" t="s">
        <v>38</v>
      </c>
      <c r="AK101" s="79" t="s">
        <v>38</v>
      </c>
      <c r="AL101" s="79" t="s">
        <v>38</v>
      </c>
      <c r="AM101" s="79" t="s">
        <v>38</v>
      </c>
      <c r="AN101" s="79" t="s">
        <v>38</v>
      </c>
      <c r="AO101" s="79" t="s">
        <v>38</v>
      </c>
      <c r="AP101" s="79" t="s">
        <v>38</v>
      </c>
      <c r="AQ101" s="79" t="s">
        <v>38</v>
      </c>
      <c r="AR101" s="79" t="s">
        <v>38</v>
      </c>
      <c r="AS101" s="79" t="s">
        <v>38</v>
      </c>
      <c r="AT101" s="79" t="s">
        <v>38</v>
      </c>
      <c r="AU101" s="79" t="s">
        <v>38</v>
      </c>
      <c r="AV101" s="79" t="s">
        <v>38</v>
      </c>
      <c r="AW101" s="79" t="s">
        <v>38</v>
      </c>
      <c r="AX101" s="79" t="s">
        <v>38</v>
      </c>
      <c r="AY101" s="79" t="s">
        <v>38</v>
      </c>
      <c r="AZ101" s="79" t="s">
        <v>38</v>
      </c>
      <c r="BA101" s="79" t="s">
        <v>38</v>
      </c>
      <c r="BB101" s="49" t="s">
        <v>38</v>
      </c>
      <c r="BC101" s="40" t="s">
        <v>38</v>
      </c>
      <c r="BD101" s="50" t="s">
        <v>38</v>
      </c>
      <c r="BE101" s="58" t="s">
        <v>38</v>
      </c>
      <c r="BF101" s="58" t="s">
        <v>38</v>
      </c>
      <c r="BG101" s="40" t="s">
        <v>38</v>
      </c>
      <c r="BH101" s="38">
        <v>0.26500000000000001</v>
      </c>
      <c r="BI101" s="79" t="s">
        <v>38</v>
      </c>
      <c r="BJ101" s="79" t="s">
        <v>38</v>
      </c>
      <c r="BK101" s="79" t="s">
        <v>38</v>
      </c>
      <c r="BL101" s="79" t="s">
        <v>38</v>
      </c>
      <c r="BM101" s="79" t="s">
        <v>38</v>
      </c>
      <c r="BN101" s="79" t="s">
        <v>38</v>
      </c>
      <c r="BO101" s="79" t="s">
        <v>38</v>
      </c>
      <c r="BP101" s="79" t="s">
        <v>38</v>
      </c>
      <c r="BQ101" s="79" t="s">
        <v>38</v>
      </c>
      <c r="BR101" s="79" t="s">
        <v>38</v>
      </c>
      <c r="BS101" s="79" t="s">
        <v>38</v>
      </c>
      <c r="BT101" s="79" t="s">
        <v>38</v>
      </c>
      <c r="BU101" s="79" t="s">
        <v>38</v>
      </c>
      <c r="BV101" s="79" t="s">
        <v>38</v>
      </c>
      <c r="BW101" s="79" t="s">
        <v>38</v>
      </c>
      <c r="BX101" s="79" t="s">
        <v>38</v>
      </c>
      <c r="BY101" s="78" t="s">
        <v>38</v>
      </c>
      <c r="BZ101" s="85" t="s">
        <v>38</v>
      </c>
      <c r="CA101" s="90" t="s">
        <v>38</v>
      </c>
    </row>
    <row r="102" spans="1:79">
      <c r="A102" s="64">
        <v>73</v>
      </c>
      <c r="B102" s="82">
        <v>254636.46085900001</v>
      </c>
      <c r="C102" s="82">
        <v>4505694.7106600003</v>
      </c>
      <c r="D102" s="78">
        <v>0.32500000000000001</v>
      </c>
      <c r="E102" s="78">
        <v>0.28699999999999998</v>
      </c>
      <c r="F102" s="79">
        <v>0.30399999999999999</v>
      </c>
      <c r="G102" s="79">
        <v>0.312</v>
      </c>
      <c r="H102" s="79">
        <v>0.26400000000000001</v>
      </c>
      <c r="I102" s="79">
        <v>0.23899999999999999</v>
      </c>
      <c r="J102" s="79">
        <v>0.223</v>
      </c>
      <c r="K102" s="79">
        <v>0.188</v>
      </c>
      <c r="L102" s="79">
        <v>0.188</v>
      </c>
      <c r="M102" s="79">
        <v>0.17299999999999999</v>
      </c>
      <c r="N102" s="67">
        <v>0.17899999999999999</v>
      </c>
      <c r="O102" s="67">
        <v>0.17799999999999999</v>
      </c>
      <c r="P102" s="67">
        <v>0.17299999999999999</v>
      </c>
      <c r="Q102" s="67">
        <v>0.19500000000000001</v>
      </c>
      <c r="R102" s="67">
        <v>0.217</v>
      </c>
      <c r="S102" s="67">
        <v>0.214</v>
      </c>
      <c r="T102" s="40">
        <v>0.32</v>
      </c>
      <c r="U102" s="40">
        <v>0.32400000000000001</v>
      </c>
      <c r="V102" s="40">
        <v>0.34</v>
      </c>
      <c r="W102" s="40">
        <v>0.34200000000000003</v>
      </c>
      <c r="X102" s="40">
        <v>0.33100000000000002</v>
      </c>
      <c r="Y102" s="40">
        <v>0.32800000000000001</v>
      </c>
      <c r="Z102" s="40">
        <v>0.34399999999999997</v>
      </c>
      <c r="AA102" s="40">
        <v>0.33300000000000002</v>
      </c>
      <c r="AB102" s="40">
        <v>0.34100000000000003</v>
      </c>
      <c r="AC102" s="40">
        <v>0.315</v>
      </c>
      <c r="AD102" s="40">
        <v>0.34599999999999997</v>
      </c>
      <c r="AE102" s="40">
        <v>0.28799999999999998</v>
      </c>
      <c r="AF102" s="40">
        <v>0.23499999999999999</v>
      </c>
      <c r="AG102" s="40">
        <v>0.22</v>
      </c>
      <c r="AH102" s="40">
        <v>0.20699999999999999</v>
      </c>
      <c r="AI102" s="40">
        <v>0.154</v>
      </c>
      <c r="AJ102" s="40">
        <v>0.22</v>
      </c>
      <c r="AK102" s="40">
        <v>0.223</v>
      </c>
      <c r="AL102" s="40" t="s">
        <v>38</v>
      </c>
      <c r="AM102" s="40">
        <v>0.35799999999999998</v>
      </c>
      <c r="AN102" s="40">
        <v>0.28999999999999998</v>
      </c>
      <c r="AO102" s="40" t="s">
        <v>38</v>
      </c>
      <c r="AP102" s="40" t="s">
        <v>38</v>
      </c>
      <c r="AQ102" s="40">
        <v>0.27200000000000002</v>
      </c>
      <c r="AR102" s="40">
        <v>0.252</v>
      </c>
      <c r="AS102" s="40">
        <v>0.23799999999999999</v>
      </c>
      <c r="AT102" s="40">
        <v>0.35299999999999998</v>
      </c>
      <c r="AU102" s="40">
        <v>0.219</v>
      </c>
      <c r="AV102" s="40">
        <v>0.20599999999999999</v>
      </c>
      <c r="AW102" s="40">
        <v>0.187</v>
      </c>
      <c r="AX102" s="40">
        <v>0.17799999999999999</v>
      </c>
      <c r="AY102" s="40" t="s">
        <v>38</v>
      </c>
      <c r="AZ102" s="40" t="s">
        <v>38</v>
      </c>
      <c r="BA102" s="40">
        <v>0.215</v>
      </c>
      <c r="BB102" s="49">
        <v>0.13800000000000001</v>
      </c>
      <c r="BC102" s="40">
        <v>0.1895</v>
      </c>
      <c r="BD102" s="50">
        <v>0.19550000000000001</v>
      </c>
      <c r="BE102" s="58" t="s">
        <v>38</v>
      </c>
      <c r="BF102" s="58" t="s">
        <v>38</v>
      </c>
      <c r="BG102" s="40">
        <v>0.26400000000000001</v>
      </c>
      <c r="BH102" s="38">
        <v>0.27600000000000002</v>
      </c>
      <c r="BI102" s="38">
        <v>0.29399999999999998</v>
      </c>
      <c r="BJ102" s="38">
        <v>0.30099999999999999</v>
      </c>
      <c r="BK102" s="38">
        <v>0.28100000000000003</v>
      </c>
      <c r="BL102" s="38">
        <v>0.28399999999999997</v>
      </c>
      <c r="BM102" s="38">
        <v>0.3</v>
      </c>
      <c r="BN102" s="39" t="s">
        <v>38</v>
      </c>
      <c r="BO102" s="40">
        <v>0.29199999999999998</v>
      </c>
      <c r="BP102" s="38">
        <v>0.26549999999999996</v>
      </c>
      <c r="BQ102" s="38">
        <v>0.20899999999999999</v>
      </c>
      <c r="BR102" s="41">
        <v>0.20599999999999999</v>
      </c>
      <c r="BS102" s="79" t="s">
        <v>38</v>
      </c>
      <c r="BT102" s="41">
        <v>0.2</v>
      </c>
      <c r="BU102" s="42">
        <v>0.19</v>
      </c>
      <c r="BV102" s="41">
        <v>0.19700000000000001</v>
      </c>
      <c r="BW102" s="42">
        <v>0.20200000000000001</v>
      </c>
      <c r="BX102" s="42">
        <v>0.20499999999999999</v>
      </c>
      <c r="BY102" s="85">
        <f>(0.286+0.276)/2</f>
        <v>0.28100000000000003</v>
      </c>
      <c r="BZ102" s="85">
        <f>(0.303+0.299)/2</f>
        <v>0.30099999999999999</v>
      </c>
      <c r="CA102" s="90">
        <v>0.44</v>
      </c>
    </row>
    <row r="103" spans="1:79">
      <c r="A103" s="68">
        <v>74</v>
      </c>
      <c r="B103" s="82">
        <v>254459.02979100001</v>
      </c>
      <c r="C103" s="82">
        <v>4505693.6283600004</v>
      </c>
      <c r="D103" s="78" t="s">
        <v>38</v>
      </c>
      <c r="E103" s="79" t="s">
        <v>38</v>
      </c>
      <c r="F103" s="79" t="s">
        <v>38</v>
      </c>
      <c r="G103" s="79" t="s">
        <v>38</v>
      </c>
      <c r="H103" s="79" t="s">
        <v>38</v>
      </c>
      <c r="I103" s="79" t="s">
        <v>38</v>
      </c>
      <c r="J103" s="79" t="s">
        <v>38</v>
      </c>
      <c r="K103" s="79" t="s">
        <v>38</v>
      </c>
      <c r="L103" s="79" t="s">
        <v>38</v>
      </c>
      <c r="M103" s="79" t="s">
        <v>38</v>
      </c>
      <c r="N103" s="79" t="s">
        <v>38</v>
      </c>
      <c r="O103" s="79" t="s">
        <v>38</v>
      </c>
      <c r="P103" s="79" t="s">
        <v>38</v>
      </c>
      <c r="Q103" s="79" t="s">
        <v>38</v>
      </c>
      <c r="R103" s="79" t="s">
        <v>38</v>
      </c>
      <c r="S103" s="79" t="s">
        <v>38</v>
      </c>
      <c r="T103" s="79" t="s">
        <v>38</v>
      </c>
      <c r="U103" s="79" t="s">
        <v>38</v>
      </c>
      <c r="V103" s="79" t="s">
        <v>38</v>
      </c>
      <c r="W103" s="79" t="s">
        <v>38</v>
      </c>
      <c r="X103" s="79" t="s">
        <v>38</v>
      </c>
      <c r="Y103" s="79" t="s">
        <v>38</v>
      </c>
      <c r="Z103" s="79" t="s">
        <v>38</v>
      </c>
      <c r="AA103" s="79" t="s">
        <v>38</v>
      </c>
      <c r="AB103" s="79" t="s">
        <v>38</v>
      </c>
      <c r="AC103" s="79" t="s">
        <v>38</v>
      </c>
      <c r="AD103" s="79" t="s">
        <v>38</v>
      </c>
      <c r="AE103" s="79" t="s">
        <v>38</v>
      </c>
      <c r="AF103" s="79" t="s">
        <v>38</v>
      </c>
      <c r="AG103" s="79" t="s">
        <v>38</v>
      </c>
      <c r="AH103" s="79" t="s">
        <v>38</v>
      </c>
      <c r="AI103" s="79" t="s">
        <v>38</v>
      </c>
      <c r="AJ103" s="79" t="s">
        <v>38</v>
      </c>
      <c r="AK103" s="79" t="s">
        <v>38</v>
      </c>
      <c r="AL103" s="79" t="s">
        <v>38</v>
      </c>
      <c r="AM103" s="79" t="s">
        <v>38</v>
      </c>
      <c r="AN103" s="79" t="s">
        <v>38</v>
      </c>
      <c r="AO103" s="79" t="s">
        <v>38</v>
      </c>
      <c r="AP103" s="79" t="s">
        <v>38</v>
      </c>
      <c r="AQ103" s="79" t="s">
        <v>38</v>
      </c>
      <c r="AR103" s="79" t="s">
        <v>38</v>
      </c>
      <c r="AS103" s="79" t="s">
        <v>38</v>
      </c>
      <c r="AT103" s="79" t="s">
        <v>38</v>
      </c>
      <c r="AU103" s="79" t="s">
        <v>38</v>
      </c>
      <c r="AV103" s="79" t="s">
        <v>38</v>
      </c>
      <c r="AW103" s="79" t="s">
        <v>38</v>
      </c>
      <c r="AX103" s="79" t="s">
        <v>38</v>
      </c>
      <c r="AY103" s="79" t="s">
        <v>38</v>
      </c>
      <c r="AZ103" s="79" t="s">
        <v>38</v>
      </c>
      <c r="BA103" s="79" t="s">
        <v>38</v>
      </c>
      <c r="BB103" s="79" t="s">
        <v>38</v>
      </c>
      <c r="BC103" s="79" t="s">
        <v>38</v>
      </c>
      <c r="BD103" s="79" t="s">
        <v>38</v>
      </c>
      <c r="BE103" s="79" t="s">
        <v>38</v>
      </c>
      <c r="BF103" s="79" t="s">
        <v>38</v>
      </c>
      <c r="BG103" s="79" t="s">
        <v>38</v>
      </c>
      <c r="BH103" s="79" t="s">
        <v>38</v>
      </c>
      <c r="BI103" s="79" t="s">
        <v>38</v>
      </c>
      <c r="BJ103" s="79" t="s">
        <v>38</v>
      </c>
      <c r="BK103" s="79" t="s">
        <v>38</v>
      </c>
      <c r="BL103" s="79" t="s">
        <v>38</v>
      </c>
      <c r="BM103" s="79" t="s">
        <v>38</v>
      </c>
      <c r="BN103" s="79" t="s">
        <v>38</v>
      </c>
      <c r="BO103" s="79" t="s">
        <v>38</v>
      </c>
      <c r="BP103" s="79" t="s">
        <v>38</v>
      </c>
      <c r="BQ103" s="79" t="s">
        <v>38</v>
      </c>
      <c r="BR103" s="79" t="s">
        <v>38</v>
      </c>
      <c r="BS103" s="79" t="s">
        <v>38</v>
      </c>
      <c r="BT103" s="79" t="s">
        <v>38</v>
      </c>
      <c r="BU103" s="79" t="s">
        <v>38</v>
      </c>
      <c r="BV103" s="79" t="s">
        <v>38</v>
      </c>
      <c r="BW103" s="79" t="s">
        <v>38</v>
      </c>
      <c r="BX103" s="79" t="s">
        <v>38</v>
      </c>
      <c r="BY103" s="78" t="s">
        <v>38</v>
      </c>
      <c r="BZ103" s="85" t="s">
        <v>38</v>
      </c>
      <c r="CA103" s="90" t="s">
        <v>38</v>
      </c>
    </row>
    <row r="104" spans="1:79">
      <c r="A104" s="68" t="s">
        <v>35</v>
      </c>
      <c r="B104" s="82">
        <v>254460.35351799999</v>
      </c>
      <c r="C104" s="82">
        <v>4505694.28632</v>
      </c>
      <c r="D104" s="78" t="s">
        <v>38</v>
      </c>
      <c r="E104" s="79" t="s">
        <v>38</v>
      </c>
      <c r="F104" s="79" t="s">
        <v>38</v>
      </c>
      <c r="G104" s="79" t="s">
        <v>38</v>
      </c>
      <c r="H104" s="79" t="s">
        <v>38</v>
      </c>
      <c r="I104" s="79" t="s">
        <v>38</v>
      </c>
      <c r="J104" s="79" t="s">
        <v>38</v>
      </c>
      <c r="K104" s="79" t="s">
        <v>38</v>
      </c>
      <c r="L104" s="79" t="s">
        <v>38</v>
      </c>
      <c r="M104" s="79" t="s">
        <v>38</v>
      </c>
      <c r="N104" s="79" t="s">
        <v>38</v>
      </c>
      <c r="O104" s="79" t="s">
        <v>38</v>
      </c>
      <c r="P104" s="79" t="s">
        <v>38</v>
      </c>
      <c r="Q104" s="79" t="s">
        <v>38</v>
      </c>
      <c r="R104" s="79" t="s">
        <v>38</v>
      </c>
      <c r="S104" s="79" t="s">
        <v>38</v>
      </c>
      <c r="T104" s="79" t="s">
        <v>38</v>
      </c>
      <c r="U104" s="79" t="s">
        <v>38</v>
      </c>
      <c r="V104" s="79" t="s">
        <v>38</v>
      </c>
      <c r="W104" s="79" t="s">
        <v>38</v>
      </c>
      <c r="X104" s="79" t="s">
        <v>38</v>
      </c>
      <c r="Y104" s="79" t="s">
        <v>38</v>
      </c>
      <c r="Z104" s="79" t="s">
        <v>38</v>
      </c>
      <c r="AA104" s="79" t="s">
        <v>38</v>
      </c>
      <c r="AB104" s="79" t="s">
        <v>38</v>
      </c>
      <c r="AC104" s="79" t="s">
        <v>38</v>
      </c>
      <c r="AD104" s="79" t="s">
        <v>38</v>
      </c>
      <c r="AE104" s="79" t="s">
        <v>38</v>
      </c>
      <c r="AF104" s="79" t="s">
        <v>38</v>
      </c>
      <c r="AG104" s="79" t="s">
        <v>38</v>
      </c>
      <c r="AH104" s="79" t="s">
        <v>38</v>
      </c>
      <c r="AI104" s="79" t="s">
        <v>38</v>
      </c>
      <c r="AJ104" s="79" t="s">
        <v>38</v>
      </c>
      <c r="AK104" s="79" t="s">
        <v>38</v>
      </c>
      <c r="AL104" s="79" t="s">
        <v>38</v>
      </c>
      <c r="AM104" s="79" t="s">
        <v>38</v>
      </c>
      <c r="AN104" s="79" t="s">
        <v>38</v>
      </c>
      <c r="AO104" s="79" t="s">
        <v>38</v>
      </c>
      <c r="AP104" s="79" t="s">
        <v>38</v>
      </c>
      <c r="AQ104" s="79" t="s">
        <v>38</v>
      </c>
      <c r="AR104" s="79" t="s">
        <v>38</v>
      </c>
      <c r="AS104" s="79" t="s">
        <v>38</v>
      </c>
      <c r="AT104" s="79" t="s">
        <v>38</v>
      </c>
      <c r="AU104" s="79" t="s">
        <v>38</v>
      </c>
      <c r="AV104" s="79" t="s">
        <v>38</v>
      </c>
      <c r="AW104" s="79" t="s">
        <v>38</v>
      </c>
      <c r="AX104" s="79" t="s">
        <v>38</v>
      </c>
      <c r="AY104" s="79" t="s">
        <v>38</v>
      </c>
      <c r="AZ104" s="79" t="s">
        <v>38</v>
      </c>
      <c r="BA104" s="79" t="s">
        <v>38</v>
      </c>
      <c r="BB104" s="79" t="s">
        <v>38</v>
      </c>
      <c r="BC104" s="79" t="s">
        <v>38</v>
      </c>
      <c r="BD104" s="79" t="s">
        <v>38</v>
      </c>
      <c r="BE104" s="79" t="s">
        <v>38</v>
      </c>
      <c r="BF104" s="79" t="s">
        <v>38</v>
      </c>
      <c r="BG104" s="79" t="s">
        <v>38</v>
      </c>
      <c r="BH104" s="79" t="s">
        <v>38</v>
      </c>
      <c r="BI104" s="79" t="s">
        <v>38</v>
      </c>
      <c r="BJ104" s="79" t="s">
        <v>38</v>
      </c>
      <c r="BK104" s="79" t="s">
        <v>38</v>
      </c>
      <c r="BL104" s="79" t="s">
        <v>38</v>
      </c>
      <c r="BM104" s="79" t="s">
        <v>38</v>
      </c>
      <c r="BN104" s="79" t="s">
        <v>38</v>
      </c>
      <c r="BO104" s="79" t="s">
        <v>38</v>
      </c>
      <c r="BP104" s="79" t="s">
        <v>38</v>
      </c>
      <c r="BQ104" s="79" t="s">
        <v>38</v>
      </c>
      <c r="BR104" s="79" t="s">
        <v>38</v>
      </c>
      <c r="BS104" s="79" t="s">
        <v>38</v>
      </c>
      <c r="BT104" s="79" t="s">
        <v>38</v>
      </c>
      <c r="BU104" s="79" t="s">
        <v>38</v>
      </c>
      <c r="BV104" s="79" t="s">
        <v>38</v>
      </c>
      <c r="BW104" s="79" t="s">
        <v>38</v>
      </c>
      <c r="BX104" s="79" t="s">
        <v>38</v>
      </c>
      <c r="BY104" s="78" t="s">
        <v>38</v>
      </c>
      <c r="BZ104" s="85" t="s">
        <v>38</v>
      </c>
      <c r="CA104" s="90" t="s">
        <v>38</v>
      </c>
    </row>
    <row r="105" spans="1:79">
      <c r="A105" s="68" t="s">
        <v>34</v>
      </c>
      <c r="B105" s="82">
        <v>254459.39995799999</v>
      </c>
      <c r="C105" s="82">
        <v>4505693.0609900001</v>
      </c>
      <c r="D105" s="78" t="s">
        <v>38</v>
      </c>
      <c r="E105" s="79" t="s">
        <v>38</v>
      </c>
      <c r="F105" s="79" t="s">
        <v>38</v>
      </c>
      <c r="G105" s="79" t="s">
        <v>38</v>
      </c>
      <c r="H105" s="79" t="s">
        <v>38</v>
      </c>
      <c r="I105" s="79" t="s">
        <v>38</v>
      </c>
      <c r="J105" s="79" t="s">
        <v>38</v>
      </c>
      <c r="K105" s="79" t="s">
        <v>38</v>
      </c>
      <c r="L105" s="79" t="s">
        <v>38</v>
      </c>
      <c r="M105" s="79" t="s">
        <v>38</v>
      </c>
      <c r="N105" s="79" t="s">
        <v>38</v>
      </c>
      <c r="O105" s="79" t="s">
        <v>38</v>
      </c>
      <c r="P105" s="79" t="s">
        <v>38</v>
      </c>
      <c r="Q105" s="79" t="s">
        <v>38</v>
      </c>
      <c r="R105" s="79" t="s">
        <v>38</v>
      </c>
      <c r="S105" s="79" t="s">
        <v>38</v>
      </c>
      <c r="T105" s="79" t="s">
        <v>38</v>
      </c>
      <c r="U105" s="79" t="s">
        <v>38</v>
      </c>
      <c r="V105" s="79" t="s">
        <v>38</v>
      </c>
      <c r="W105" s="79" t="s">
        <v>38</v>
      </c>
      <c r="X105" s="79" t="s">
        <v>38</v>
      </c>
      <c r="Y105" s="79" t="s">
        <v>38</v>
      </c>
      <c r="Z105" s="79" t="s">
        <v>38</v>
      </c>
      <c r="AA105" s="79" t="s">
        <v>38</v>
      </c>
      <c r="AB105" s="79" t="s">
        <v>38</v>
      </c>
      <c r="AC105" s="79" t="s">
        <v>38</v>
      </c>
      <c r="AD105" s="79" t="s">
        <v>38</v>
      </c>
      <c r="AE105" s="79" t="s">
        <v>38</v>
      </c>
      <c r="AF105" s="79" t="s">
        <v>38</v>
      </c>
      <c r="AG105" s="79" t="s">
        <v>38</v>
      </c>
      <c r="AH105" s="79" t="s">
        <v>38</v>
      </c>
      <c r="AI105" s="79" t="s">
        <v>38</v>
      </c>
      <c r="AJ105" s="79" t="s">
        <v>38</v>
      </c>
      <c r="AK105" s="79" t="s">
        <v>38</v>
      </c>
      <c r="AL105" s="79" t="s">
        <v>38</v>
      </c>
      <c r="AM105" s="79" t="s">
        <v>38</v>
      </c>
      <c r="AN105" s="79" t="s">
        <v>38</v>
      </c>
      <c r="AO105" s="79" t="s">
        <v>38</v>
      </c>
      <c r="AP105" s="79" t="s">
        <v>38</v>
      </c>
      <c r="AQ105" s="79" t="s">
        <v>38</v>
      </c>
      <c r="AR105" s="79" t="s">
        <v>38</v>
      </c>
      <c r="AS105" s="79" t="s">
        <v>38</v>
      </c>
      <c r="AT105" s="79" t="s">
        <v>38</v>
      </c>
      <c r="AU105" s="79" t="s">
        <v>38</v>
      </c>
      <c r="AV105" s="79" t="s">
        <v>38</v>
      </c>
      <c r="AW105" s="79" t="s">
        <v>38</v>
      </c>
      <c r="AX105" s="79" t="s">
        <v>38</v>
      </c>
      <c r="AY105" s="79" t="s">
        <v>38</v>
      </c>
      <c r="AZ105" s="79" t="s">
        <v>38</v>
      </c>
      <c r="BA105" s="79" t="s">
        <v>38</v>
      </c>
      <c r="BB105" s="79" t="s">
        <v>38</v>
      </c>
      <c r="BC105" s="79" t="s">
        <v>38</v>
      </c>
      <c r="BD105" s="79" t="s">
        <v>38</v>
      </c>
      <c r="BE105" s="79" t="s">
        <v>38</v>
      </c>
      <c r="BF105" s="79" t="s">
        <v>38</v>
      </c>
      <c r="BG105" s="79" t="s">
        <v>38</v>
      </c>
      <c r="BH105" s="79" t="s">
        <v>38</v>
      </c>
      <c r="BI105" s="79" t="s">
        <v>38</v>
      </c>
      <c r="BJ105" s="79" t="s">
        <v>38</v>
      </c>
      <c r="BK105" s="79" t="s">
        <v>38</v>
      </c>
      <c r="BL105" s="79" t="s">
        <v>38</v>
      </c>
      <c r="BM105" s="79" t="s">
        <v>38</v>
      </c>
      <c r="BN105" s="79" t="s">
        <v>38</v>
      </c>
      <c r="BO105" s="79" t="s">
        <v>38</v>
      </c>
      <c r="BP105" s="79" t="s">
        <v>38</v>
      </c>
      <c r="BQ105" s="79" t="s">
        <v>38</v>
      </c>
      <c r="BR105" s="79" t="s">
        <v>38</v>
      </c>
      <c r="BS105" s="79" t="s">
        <v>38</v>
      </c>
      <c r="BT105" s="79" t="s">
        <v>38</v>
      </c>
      <c r="BU105" s="79" t="s">
        <v>38</v>
      </c>
      <c r="BV105" s="79" t="s">
        <v>38</v>
      </c>
      <c r="BW105" s="79" t="s">
        <v>38</v>
      </c>
      <c r="BX105" s="79" t="s">
        <v>38</v>
      </c>
      <c r="BY105" s="78" t="s">
        <v>38</v>
      </c>
      <c r="BZ105" s="85" t="s">
        <v>38</v>
      </c>
      <c r="CA105" s="90" t="s">
        <v>38</v>
      </c>
    </row>
    <row r="106" spans="1:79">
      <c r="A106" s="68" t="s">
        <v>36</v>
      </c>
      <c r="B106" s="82">
        <v>254457.54797300001</v>
      </c>
      <c r="C106" s="82">
        <v>4505693.1189799998</v>
      </c>
      <c r="D106" s="78" t="s">
        <v>38</v>
      </c>
      <c r="E106" s="79" t="s">
        <v>38</v>
      </c>
      <c r="F106" s="79" t="s">
        <v>38</v>
      </c>
      <c r="G106" s="79" t="s">
        <v>38</v>
      </c>
      <c r="H106" s="79" t="s">
        <v>38</v>
      </c>
      <c r="I106" s="79" t="s">
        <v>38</v>
      </c>
      <c r="J106" s="79" t="s">
        <v>38</v>
      </c>
      <c r="K106" s="79" t="s">
        <v>38</v>
      </c>
      <c r="L106" s="79" t="s">
        <v>38</v>
      </c>
      <c r="M106" s="79" t="s">
        <v>38</v>
      </c>
      <c r="N106" s="79" t="s">
        <v>38</v>
      </c>
      <c r="O106" s="79" t="s">
        <v>38</v>
      </c>
      <c r="P106" s="79" t="s">
        <v>38</v>
      </c>
      <c r="Q106" s="79" t="s">
        <v>38</v>
      </c>
      <c r="R106" s="79" t="s">
        <v>38</v>
      </c>
      <c r="S106" s="79" t="s">
        <v>38</v>
      </c>
      <c r="T106" s="79" t="s">
        <v>38</v>
      </c>
      <c r="U106" s="79" t="s">
        <v>38</v>
      </c>
      <c r="V106" s="79" t="s">
        <v>38</v>
      </c>
      <c r="W106" s="79" t="s">
        <v>38</v>
      </c>
      <c r="X106" s="79" t="s">
        <v>38</v>
      </c>
      <c r="Y106" s="79" t="s">
        <v>38</v>
      </c>
      <c r="Z106" s="79" t="s">
        <v>38</v>
      </c>
      <c r="AA106" s="79" t="s">
        <v>38</v>
      </c>
      <c r="AB106" s="79" t="s">
        <v>38</v>
      </c>
      <c r="AC106" s="79" t="s">
        <v>38</v>
      </c>
      <c r="AD106" s="79" t="s">
        <v>38</v>
      </c>
      <c r="AE106" s="79" t="s">
        <v>38</v>
      </c>
      <c r="AF106" s="79" t="s">
        <v>38</v>
      </c>
      <c r="AG106" s="79" t="s">
        <v>38</v>
      </c>
      <c r="AH106" s="79" t="s">
        <v>38</v>
      </c>
      <c r="AI106" s="79" t="s">
        <v>38</v>
      </c>
      <c r="AJ106" s="79" t="s">
        <v>38</v>
      </c>
      <c r="AK106" s="79" t="s">
        <v>38</v>
      </c>
      <c r="AL106" s="79" t="s">
        <v>38</v>
      </c>
      <c r="AM106" s="79" t="s">
        <v>38</v>
      </c>
      <c r="AN106" s="79" t="s">
        <v>38</v>
      </c>
      <c r="AO106" s="79" t="s">
        <v>38</v>
      </c>
      <c r="AP106" s="79" t="s">
        <v>38</v>
      </c>
      <c r="AQ106" s="79" t="s">
        <v>38</v>
      </c>
      <c r="AR106" s="79" t="s">
        <v>38</v>
      </c>
      <c r="AS106" s="79" t="s">
        <v>38</v>
      </c>
      <c r="AT106" s="79" t="s">
        <v>38</v>
      </c>
      <c r="AU106" s="79" t="s">
        <v>38</v>
      </c>
      <c r="AV106" s="79" t="s">
        <v>38</v>
      </c>
      <c r="AW106" s="79" t="s">
        <v>38</v>
      </c>
      <c r="AX106" s="79" t="s">
        <v>38</v>
      </c>
      <c r="AY106" s="79" t="s">
        <v>38</v>
      </c>
      <c r="AZ106" s="79" t="s">
        <v>38</v>
      </c>
      <c r="BA106" s="79" t="s">
        <v>38</v>
      </c>
      <c r="BB106" s="79" t="s">
        <v>38</v>
      </c>
      <c r="BC106" s="79" t="s">
        <v>38</v>
      </c>
      <c r="BD106" s="79" t="s">
        <v>38</v>
      </c>
      <c r="BE106" s="79" t="s">
        <v>38</v>
      </c>
      <c r="BF106" s="79" t="s">
        <v>38</v>
      </c>
      <c r="BG106" s="79" t="s">
        <v>38</v>
      </c>
      <c r="BH106" s="79" t="s">
        <v>38</v>
      </c>
      <c r="BI106" s="79" t="s">
        <v>38</v>
      </c>
      <c r="BJ106" s="79" t="s">
        <v>38</v>
      </c>
      <c r="BK106" s="79" t="s">
        <v>38</v>
      </c>
      <c r="BL106" s="79" t="s">
        <v>38</v>
      </c>
      <c r="BM106" s="79" t="s">
        <v>38</v>
      </c>
      <c r="BN106" s="79" t="s">
        <v>38</v>
      </c>
      <c r="BO106" s="79" t="s">
        <v>38</v>
      </c>
      <c r="BP106" s="79" t="s">
        <v>38</v>
      </c>
      <c r="BQ106" s="79" t="s">
        <v>38</v>
      </c>
      <c r="BR106" s="79" t="s">
        <v>38</v>
      </c>
      <c r="BS106" s="79" t="s">
        <v>38</v>
      </c>
      <c r="BT106" s="79" t="s">
        <v>38</v>
      </c>
      <c r="BU106" s="79" t="s">
        <v>38</v>
      </c>
      <c r="BV106" s="79" t="s">
        <v>38</v>
      </c>
      <c r="BW106" s="79" t="s">
        <v>38</v>
      </c>
      <c r="BX106" s="79" t="s">
        <v>38</v>
      </c>
      <c r="BY106" s="78" t="s">
        <v>38</v>
      </c>
      <c r="BZ106" s="85" t="s">
        <v>38</v>
      </c>
      <c r="CA106" s="90" t="s">
        <v>38</v>
      </c>
    </row>
    <row r="107" spans="1:79">
      <c r="A107" s="68" t="s">
        <v>37</v>
      </c>
      <c r="B107" s="82">
        <v>254458.456752</v>
      </c>
      <c r="C107" s="82">
        <v>4505694.83213</v>
      </c>
      <c r="D107" s="78" t="s">
        <v>38</v>
      </c>
      <c r="E107" s="79" t="s">
        <v>38</v>
      </c>
      <c r="F107" s="79" t="s">
        <v>38</v>
      </c>
      <c r="G107" s="79" t="s">
        <v>38</v>
      </c>
      <c r="H107" s="79" t="s">
        <v>38</v>
      </c>
      <c r="I107" s="79" t="s">
        <v>38</v>
      </c>
      <c r="J107" s="79" t="s">
        <v>38</v>
      </c>
      <c r="K107" s="79" t="s">
        <v>38</v>
      </c>
      <c r="L107" s="79" t="s">
        <v>38</v>
      </c>
      <c r="M107" s="79" t="s">
        <v>38</v>
      </c>
      <c r="N107" s="79" t="s">
        <v>38</v>
      </c>
      <c r="O107" s="79" t="s">
        <v>38</v>
      </c>
      <c r="P107" s="79" t="s">
        <v>38</v>
      </c>
      <c r="Q107" s="79" t="s">
        <v>38</v>
      </c>
      <c r="R107" s="79" t="s">
        <v>38</v>
      </c>
      <c r="S107" s="79" t="s">
        <v>38</v>
      </c>
      <c r="T107" s="79" t="s">
        <v>38</v>
      </c>
      <c r="U107" s="79" t="s">
        <v>38</v>
      </c>
      <c r="V107" s="79" t="s">
        <v>38</v>
      </c>
      <c r="W107" s="79" t="s">
        <v>38</v>
      </c>
      <c r="X107" s="79" t="s">
        <v>38</v>
      </c>
      <c r="Y107" s="79" t="s">
        <v>38</v>
      </c>
      <c r="Z107" s="79" t="s">
        <v>38</v>
      </c>
      <c r="AA107" s="79" t="s">
        <v>38</v>
      </c>
      <c r="AB107" s="79" t="s">
        <v>38</v>
      </c>
      <c r="AC107" s="79" t="s">
        <v>38</v>
      </c>
      <c r="AD107" s="79" t="s">
        <v>38</v>
      </c>
      <c r="AE107" s="79" t="s">
        <v>38</v>
      </c>
      <c r="AF107" s="79" t="s">
        <v>38</v>
      </c>
      <c r="AG107" s="79" t="s">
        <v>38</v>
      </c>
      <c r="AH107" s="79" t="s">
        <v>38</v>
      </c>
      <c r="AI107" s="79" t="s">
        <v>38</v>
      </c>
      <c r="AJ107" s="79" t="s">
        <v>38</v>
      </c>
      <c r="AK107" s="79" t="s">
        <v>38</v>
      </c>
      <c r="AL107" s="79" t="s">
        <v>38</v>
      </c>
      <c r="AM107" s="79" t="s">
        <v>38</v>
      </c>
      <c r="AN107" s="79" t="s">
        <v>38</v>
      </c>
      <c r="AO107" s="79" t="s">
        <v>38</v>
      </c>
      <c r="AP107" s="79" t="s">
        <v>38</v>
      </c>
      <c r="AQ107" s="79" t="s">
        <v>38</v>
      </c>
      <c r="AR107" s="79" t="s">
        <v>38</v>
      </c>
      <c r="AS107" s="79" t="s">
        <v>38</v>
      </c>
      <c r="AT107" s="79" t="s">
        <v>38</v>
      </c>
      <c r="AU107" s="79" t="s">
        <v>38</v>
      </c>
      <c r="AV107" s="79" t="s">
        <v>38</v>
      </c>
      <c r="AW107" s="79" t="s">
        <v>38</v>
      </c>
      <c r="AX107" s="79" t="s">
        <v>38</v>
      </c>
      <c r="AY107" s="79" t="s">
        <v>38</v>
      </c>
      <c r="AZ107" s="79" t="s">
        <v>38</v>
      </c>
      <c r="BA107" s="79" t="s">
        <v>38</v>
      </c>
      <c r="BB107" s="79" t="s">
        <v>38</v>
      </c>
      <c r="BC107" s="79" t="s">
        <v>38</v>
      </c>
      <c r="BD107" s="79" t="s">
        <v>38</v>
      </c>
      <c r="BE107" s="79" t="s">
        <v>38</v>
      </c>
      <c r="BF107" s="79" t="s">
        <v>38</v>
      </c>
      <c r="BG107" s="79" t="s">
        <v>38</v>
      </c>
      <c r="BH107" s="79" t="s">
        <v>38</v>
      </c>
      <c r="BI107" s="79" t="s">
        <v>38</v>
      </c>
      <c r="BJ107" s="79" t="s">
        <v>38</v>
      </c>
      <c r="BK107" s="79" t="s">
        <v>38</v>
      </c>
      <c r="BL107" s="79" t="s">
        <v>38</v>
      </c>
      <c r="BM107" s="79" t="s">
        <v>38</v>
      </c>
      <c r="BN107" s="79" t="s">
        <v>38</v>
      </c>
      <c r="BO107" s="79" t="s">
        <v>38</v>
      </c>
      <c r="BP107" s="79" t="s">
        <v>38</v>
      </c>
      <c r="BQ107" s="79" t="s">
        <v>38</v>
      </c>
      <c r="BR107" s="79" t="s">
        <v>38</v>
      </c>
      <c r="BS107" s="79" t="s">
        <v>38</v>
      </c>
      <c r="BT107" s="79" t="s">
        <v>38</v>
      </c>
      <c r="BU107" s="79" t="s">
        <v>38</v>
      </c>
      <c r="BV107" s="79" t="s">
        <v>38</v>
      </c>
      <c r="BW107" s="79" t="s">
        <v>38</v>
      </c>
      <c r="BX107" s="79" t="s">
        <v>38</v>
      </c>
      <c r="BY107" s="78" t="s">
        <v>38</v>
      </c>
      <c r="BZ107" s="85" t="s">
        <v>38</v>
      </c>
      <c r="CA107" s="90" t="s">
        <v>38</v>
      </c>
    </row>
    <row r="108" spans="1:79">
      <c r="A108" s="79"/>
      <c r="D108" s="79"/>
      <c r="E108" s="79"/>
      <c r="F108" s="79"/>
      <c r="G108" s="79"/>
      <c r="H108" s="79"/>
      <c r="I108" s="79"/>
      <c r="J108" s="79"/>
      <c r="K108" s="79"/>
      <c r="L108" s="79"/>
      <c r="M108" s="79"/>
      <c r="P108" s="77"/>
      <c r="Q108" s="77"/>
      <c r="BY108" s="79"/>
      <c r="BZ108" s="79"/>
      <c r="CA108" s="79"/>
    </row>
    <row r="109" spans="1:79">
      <c r="P109" s="77"/>
      <c r="Q109" s="77"/>
    </row>
    <row r="110" spans="1:79">
      <c r="P110" s="77"/>
      <c r="Q110" s="77"/>
    </row>
    <row r="111" spans="1:79">
      <c r="P111" s="77"/>
      <c r="Q111" s="77"/>
    </row>
    <row r="112" spans="1:79">
      <c r="P112" s="77"/>
      <c r="Q112" s="77"/>
    </row>
    <row r="113" spans="16:17">
      <c r="P113" s="77"/>
      <c r="Q113" s="77"/>
    </row>
    <row r="114" spans="16:17">
      <c r="Q114" s="77"/>
    </row>
    <row r="115" spans="16:17">
      <c r="Q115" s="77"/>
    </row>
  </sheetData>
  <phoneticPr fontId="27" type="noConversion"/>
  <pageMargins left="0.7" right="0.7" top="0.75" bottom="0.75" header="0.3" footer="0.3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107"/>
  <sheetViews>
    <sheetView tabSelected="1" workbookViewId="0">
      <selection activeCell="AI2" sqref="AI2"/>
    </sheetView>
  </sheetViews>
  <sheetFormatPr defaultColWidth="8.85546875" defaultRowHeight="15.75"/>
  <cols>
    <col min="1" max="1" width="5.140625" style="15" bestFit="1" customWidth="1"/>
    <col min="2" max="3" width="19.7109375" style="82" customWidth="1"/>
    <col min="4" max="14" width="9" style="15" bestFit="1" customWidth="1"/>
    <col min="15" max="15" width="11.42578125" style="15" customWidth="1"/>
    <col min="16" max="16" width="11.85546875" style="16" customWidth="1"/>
    <col min="17" max="17" width="11.7109375" style="16" customWidth="1"/>
    <col min="18" max="18" width="13.42578125" style="16" customWidth="1"/>
    <col min="19" max="19" width="11.42578125" style="16" bestFit="1" customWidth="1"/>
    <col min="20" max="20" width="12.85546875" style="16" bestFit="1" customWidth="1"/>
    <col min="21" max="21" width="11.42578125" style="16" bestFit="1" customWidth="1"/>
    <col min="22" max="25" width="12.85546875" style="16" bestFit="1" customWidth="1"/>
    <col min="26" max="27" width="11.42578125" style="16" bestFit="1" customWidth="1"/>
    <col min="28" max="28" width="12.85546875" style="16" bestFit="1" customWidth="1"/>
    <col min="29" max="29" width="11.42578125" style="16" bestFit="1" customWidth="1"/>
    <col min="30" max="32" width="12.85546875" style="16" bestFit="1" customWidth="1"/>
    <col min="33" max="34" width="14.28515625" style="16" bestFit="1" customWidth="1"/>
  </cols>
  <sheetData>
    <row r="1" spans="1:34">
      <c r="A1" s="29" t="s">
        <v>57</v>
      </c>
      <c r="B1" s="82" t="s">
        <v>54</v>
      </c>
      <c r="C1" s="82" t="s">
        <v>55</v>
      </c>
      <c r="D1" s="19" t="s">
        <v>64</v>
      </c>
      <c r="E1" s="19" t="s">
        <v>65</v>
      </c>
      <c r="F1" s="19" t="s">
        <v>66</v>
      </c>
      <c r="G1" s="19" t="s">
        <v>67</v>
      </c>
      <c r="H1" s="19" t="s">
        <v>68</v>
      </c>
      <c r="I1" s="19" t="s">
        <v>69</v>
      </c>
      <c r="J1" s="19" t="s">
        <v>70</v>
      </c>
      <c r="K1" s="19" t="s">
        <v>71</v>
      </c>
      <c r="L1" s="19" t="s">
        <v>72</v>
      </c>
      <c r="M1" s="19" t="s">
        <v>73</v>
      </c>
      <c r="N1" s="19" t="s">
        <v>74</v>
      </c>
      <c r="O1" s="26" t="s">
        <v>82</v>
      </c>
      <c r="P1" s="26" t="s">
        <v>83</v>
      </c>
      <c r="Q1" s="26" t="s">
        <v>84</v>
      </c>
      <c r="R1" s="26" t="s">
        <v>85</v>
      </c>
      <c r="S1" s="26" t="s">
        <v>86</v>
      </c>
      <c r="T1" s="26" t="s">
        <v>87</v>
      </c>
      <c r="U1" s="26" t="s">
        <v>88</v>
      </c>
      <c r="V1" s="26" t="s">
        <v>89</v>
      </c>
      <c r="W1" s="26" t="s">
        <v>90</v>
      </c>
      <c r="X1" s="26" t="s">
        <v>91</v>
      </c>
      <c r="Y1" s="26" t="s">
        <v>92</v>
      </c>
      <c r="Z1" s="26" t="s">
        <v>93</v>
      </c>
      <c r="AA1" s="26" t="s">
        <v>94</v>
      </c>
      <c r="AB1" s="26" t="s">
        <v>95</v>
      </c>
      <c r="AC1" s="26" t="s">
        <v>96</v>
      </c>
      <c r="AD1" s="26" t="s">
        <v>97</v>
      </c>
      <c r="AE1" s="26" t="s">
        <v>98</v>
      </c>
      <c r="AF1" s="26" t="s">
        <v>99</v>
      </c>
      <c r="AG1" s="26" t="s">
        <v>100</v>
      </c>
      <c r="AH1" s="26" t="s">
        <v>101</v>
      </c>
    </row>
    <row r="2" spans="1:34">
      <c r="A2" s="29" t="s">
        <v>0</v>
      </c>
      <c r="B2" s="82">
        <v>254435.22415699999</v>
      </c>
      <c r="C2" s="82">
        <v>4505558.7383700004</v>
      </c>
      <c r="D2" s="19" t="s">
        <v>38</v>
      </c>
      <c r="E2" s="19">
        <v>0.22850000000000001</v>
      </c>
      <c r="F2" s="19">
        <v>0.23199999999999998</v>
      </c>
      <c r="G2" s="19">
        <v>0.249</v>
      </c>
      <c r="H2" s="19">
        <v>0.22500000000000001</v>
      </c>
      <c r="I2" s="19" t="s">
        <v>38</v>
      </c>
      <c r="J2" s="19">
        <v>0.2175</v>
      </c>
      <c r="K2" s="19">
        <v>0.20749999999999999</v>
      </c>
      <c r="L2" s="19">
        <v>0.151</v>
      </c>
      <c r="M2" s="19">
        <v>0.184</v>
      </c>
      <c r="N2" s="19">
        <v>0.14150000000000001</v>
      </c>
      <c r="O2" s="16">
        <v>0.27600000000000002</v>
      </c>
      <c r="P2" s="16">
        <v>0.27500000000000002</v>
      </c>
      <c r="Q2" s="16">
        <v>0.27200000000000002</v>
      </c>
      <c r="R2" s="16">
        <v>0.28100000000000003</v>
      </c>
      <c r="S2" s="17">
        <v>0.26500000000000001</v>
      </c>
      <c r="T2" s="16">
        <v>0.26800000000000002</v>
      </c>
      <c r="U2" s="17">
        <v>0.255</v>
      </c>
      <c r="V2" s="17">
        <v>0.26400000000000001</v>
      </c>
      <c r="W2" s="17">
        <v>0.27700000000000002</v>
      </c>
      <c r="X2" s="16">
        <v>0.25800000000000001</v>
      </c>
      <c r="Y2" s="16">
        <v>0.318</v>
      </c>
      <c r="Z2" s="16">
        <v>0.254</v>
      </c>
      <c r="AA2" s="16">
        <v>0.19600000000000001</v>
      </c>
      <c r="AB2" s="16">
        <v>0.19500000000000001</v>
      </c>
      <c r="AC2" s="16">
        <v>0.14399999999999999</v>
      </c>
      <c r="AD2" s="16">
        <v>0.159</v>
      </c>
      <c r="AE2" s="16">
        <v>0.19500000000000001</v>
      </c>
      <c r="AF2" s="16">
        <v>0.161</v>
      </c>
      <c r="AG2" s="16">
        <v>0.34799999999999998</v>
      </c>
      <c r="AH2" s="16">
        <v>0.27700000000000002</v>
      </c>
    </row>
    <row r="3" spans="1:34">
      <c r="A3" s="29" t="s">
        <v>1</v>
      </c>
      <c r="B3" s="82">
        <v>254434.193532</v>
      </c>
      <c r="C3" s="82">
        <v>4505555.6557400003</v>
      </c>
      <c r="D3" s="16" t="s">
        <v>38</v>
      </c>
      <c r="E3" s="16" t="s">
        <v>38</v>
      </c>
      <c r="F3" s="16" t="s">
        <v>38</v>
      </c>
      <c r="G3" s="16" t="s">
        <v>38</v>
      </c>
      <c r="H3" s="16" t="s">
        <v>38</v>
      </c>
      <c r="I3" s="16" t="s">
        <v>38</v>
      </c>
      <c r="J3" s="16" t="s">
        <v>38</v>
      </c>
      <c r="K3" s="16" t="s">
        <v>38</v>
      </c>
      <c r="L3" s="16" t="s">
        <v>38</v>
      </c>
      <c r="M3" s="16" t="s">
        <v>38</v>
      </c>
      <c r="N3" s="16" t="s">
        <v>38</v>
      </c>
      <c r="O3" s="16">
        <v>0.156</v>
      </c>
      <c r="P3" s="16">
        <v>0.161</v>
      </c>
      <c r="Q3" s="16">
        <v>0.127</v>
      </c>
      <c r="R3" s="16">
        <v>0.157</v>
      </c>
      <c r="S3" s="16">
        <v>0.128</v>
      </c>
      <c r="T3" s="16">
        <v>0.109</v>
      </c>
      <c r="U3" s="16">
        <v>0.152</v>
      </c>
      <c r="V3" s="16">
        <v>0.14799999999999999</v>
      </c>
      <c r="W3" s="16">
        <v>0.13400000000000001</v>
      </c>
      <c r="X3" s="16">
        <v>0.13500000000000001</v>
      </c>
      <c r="Y3" s="16">
        <v>0.16900000000000001</v>
      </c>
      <c r="Z3" s="16">
        <v>0.17399999999999999</v>
      </c>
      <c r="AA3" s="16">
        <v>0.13500000000000001</v>
      </c>
      <c r="AB3" s="16">
        <v>0.129</v>
      </c>
      <c r="AC3" s="16">
        <v>0.115</v>
      </c>
      <c r="AD3" s="16">
        <v>0.109</v>
      </c>
      <c r="AE3" s="16">
        <v>0.12</v>
      </c>
      <c r="AF3" s="16">
        <v>0.1</v>
      </c>
      <c r="AG3" s="16">
        <v>0.1</v>
      </c>
      <c r="AH3" s="16">
        <v>0.14599999999999999</v>
      </c>
    </row>
    <row r="4" spans="1:34">
      <c r="A4" s="29" t="s">
        <v>2</v>
      </c>
      <c r="B4" s="82">
        <v>254437.047169</v>
      </c>
      <c r="C4" s="82">
        <v>4505550.4602800002</v>
      </c>
      <c r="D4" s="16" t="s">
        <v>38</v>
      </c>
      <c r="E4" s="16" t="s">
        <v>38</v>
      </c>
      <c r="F4" s="16" t="s">
        <v>38</v>
      </c>
      <c r="G4" s="16" t="s">
        <v>38</v>
      </c>
      <c r="H4" s="16" t="s">
        <v>38</v>
      </c>
      <c r="I4" s="16" t="s">
        <v>38</v>
      </c>
      <c r="J4" s="16" t="s">
        <v>38</v>
      </c>
      <c r="K4" s="16" t="s">
        <v>38</v>
      </c>
      <c r="L4" s="16" t="s">
        <v>38</v>
      </c>
      <c r="M4" s="16" t="s">
        <v>38</v>
      </c>
      <c r="N4" s="16" t="s">
        <v>38</v>
      </c>
      <c r="O4" s="16">
        <v>0.16200000000000001</v>
      </c>
      <c r="P4" s="16">
        <v>0.16800000000000001</v>
      </c>
      <c r="Q4" s="16">
        <v>0.16500000000000001</v>
      </c>
      <c r="R4" s="16">
        <v>0.17399999999999999</v>
      </c>
      <c r="S4" s="16">
        <v>0.14799999999999999</v>
      </c>
      <c r="T4" s="16">
        <v>0.14000000000000001</v>
      </c>
      <c r="U4" s="16">
        <v>0.14599999999999999</v>
      </c>
      <c r="V4" s="16">
        <v>0.14699999999999999</v>
      </c>
      <c r="W4" s="16">
        <v>0.14899999999999999</v>
      </c>
      <c r="X4" s="16">
        <v>0.153</v>
      </c>
      <c r="Y4" s="16">
        <v>0.182</v>
      </c>
      <c r="Z4" s="16">
        <v>0.16600000000000001</v>
      </c>
      <c r="AA4" s="16">
        <v>0.186</v>
      </c>
      <c r="AB4" s="16">
        <v>0.14499999999999999</v>
      </c>
      <c r="AC4" s="16">
        <v>0.14199999999999999</v>
      </c>
      <c r="AD4" s="16">
        <v>0.13400000000000001</v>
      </c>
      <c r="AE4" s="16">
        <v>0.113</v>
      </c>
      <c r="AF4" s="16">
        <v>0.14199999999999999</v>
      </c>
      <c r="AG4" s="16">
        <v>0.14199999999999999</v>
      </c>
      <c r="AH4" s="16">
        <v>0.14699999999999999</v>
      </c>
    </row>
    <row r="5" spans="1:34">
      <c r="A5" s="29" t="s">
        <v>3</v>
      </c>
      <c r="B5" s="82">
        <v>254438.863595</v>
      </c>
      <c r="C5" s="82">
        <v>4505538.7464199997</v>
      </c>
      <c r="D5" s="16" t="s">
        <v>38</v>
      </c>
      <c r="E5" s="16" t="s">
        <v>38</v>
      </c>
      <c r="F5" s="16" t="s">
        <v>38</v>
      </c>
      <c r="G5" s="16" t="s">
        <v>38</v>
      </c>
      <c r="H5" s="16" t="s">
        <v>38</v>
      </c>
      <c r="I5" s="16" t="s">
        <v>38</v>
      </c>
      <c r="J5" s="16" t="s">
        <v>38</v>
      </c>
      <c r="K5" s="16" t="s">
        <v>38</v>
      </c>
      <c r="L5" s="16" t="s">
        <v>38</v>
      </c>
      <c r="M5" s="16" t="s">
        <v>38</v>
      </c>
      <c r="N5" s="16" t="s">
        <v>38</v>
      </c>
      <c r="O5" s="16">
        <v>0.19600000000000001</v>
      </c>
      <c r="P5" s="30">
        <v>0.215</v>
      </c>
      <c r="Q5" s="30">
        <v>0.23300000000000001</v>
      </c>
      <c r="R5" s="30">
        <v>0.216</v>
      </c>
      <c r="S5" s="30">
        <v>0.217</v>
      </c>
      <c r="T5" s="30">
        <v>0.2</v>
      </c>
      <c r="U5" s="30">
        <v>0.215</v>
      </c>
      <c r="V5" s="30">
        <v>0.21</v>
      </c>
      <c r="W5" s="30">
        <v>0.23200000000000001</v>
      </c>
      <c r="X5" s="30">
        <v>0.27700000000000002</v>
      </c>
      <c r="Y5" s="30">
        <v>0.246</v>
      </c>
      <c r="Z5" s="30">
        <v>0.21199999999999999</v>
      </c>
      <c r="AA5" s="30">
        <v>0.187</v>
      </c>
      <c r="AB5" s="30">
        <v>0.17299999999999999</v>
      </c>
      <c r="AC5" s="30">
        <v>0.13900000000000001</v>
      </c>
      <c r="AD5" s="30">
        <v>0.156</v>
      </c>
      <c r="AE5" s="30">
        <v>0.16500000000000001</v>
      </c>
      <c r="AF5" s="30">
        <v>0.159</v>
      </c>
      <c r="AG5" s="30">
        <v>0.26400000000000001</v>
      </c>
      <c r="AH5" s="30">
        <v>0.25700000000000001</v>
      </c>
    </row>
    <row r="6" spans="1:34">
      <c r="A6" s="29" t="s">
        <v>4</v>
      </c>
      <c r="B6" s="82">
        <v>254443.36339700001</v>
      </c>
      <c r="C6" s="82">
        <v>4505517.0831000004</v>
      </c>
      <c r="D6" s="16" t="s">
        <v>38</v>
      </c>
      <c r="E6" s="16" t="s">
        <v>38</v>
      </c>
      <c r="F6" s="16" t="s">
        <v>38</v>
      </c>
      <c r="G6" s="16" t="s">
        <v>38</v>
      </c>
      <c r="H6" s="16" t="s">
        <v>38</v>
      </c>
      <c r="I6" s="16" t="s">
        <v>38</v>
      </c>
      <c r="J6" s="16" t="s">
        <v>38</v>
      </c>
      <c r="K6" s="16" t="s">
        <v>38</v>
      </c>
      <c r="L6" s="16" t="s">
        <v>38</v>
      </c>
      <c r="M6" s="16" t="s">
        <v>38</v>
      </c>
      <c r="N6" s="16" t="s">
        <v>38</v>
      </c>
      <c r="O6" s="16" t="s">
        <v>38</v>
      </c>
      <c r="P6" s="30">
        <v>0.19400000000000001</v>
      </c>
      <c r="Q6" s="30">
        <v>0.16900000000000001</v>
      </c>
      <c r="R6" s="30">
        <v>0.2</v>
      </c>
      <c r="S6" s="30">
        <v>0.16300000000000001</v>
      </c>
      <c r="T6" s="30">
        <v>0.14699999999999999</v>
      </c>
      <c r="U6" s="30">
        <v>0.154</v>
      </c>
      <c r="V6" s="30">
        <v>0.161</v>
      </c>
      <c r="W6" s="30">
        <v>0.156</v>
      </c>
      <c r="X6" s="30">
        <v>0.16800000000000001</v>
      </c>
      <c r="Y6" s="30">
        <v>0.17</v>
      </c>
      <c r="Z6" s="30">
        <v>0.16400000000000001</v>
      </c>
      <c r="AA6" s="30">
        <v>0.13900000000000001</v>
      </c>
      <c r="AB6" s="30">
        <v>0.14199999999999999</v>
      </c>
      <c r="AC6" s="30">
        <v>0.124</v>
      </c>
      <c r="AD6" s="30">
        <v>0.11700000000000001</v>
      </c>
      <c r="AE6" s="30">
        <v>0.14899999999999999</v>
      </c>
      <c r="AF6" s="30">
        <v>0.125</v>
      </c>
      <c r="AG6" s="30">
        <v>0.17699999999999999</v>
      </c>
      <c r="AH6" s="30">
        <v>0.17799999999999999</v>
      </c>
    </row>
    <row r="7" spans="1:34">
      <c r="A7" s="29" t="s">
        <v>5</v>
      </c>
      <c r="B7" s="82">
        <v>254468.858427</v>
      </c>
      <c r="C7" s="82">
        <v>4505567.6974299997</v>
      </c>
      <c r="D7" s="16" t="s">
        <v>38</v>
      </c>
      <c r="E7" s="16" t="s">
        <v>38</v>
      </c>
      <c r="F7" s="16" t="s">
        <v>38</v>
      </c>
      <c r="G7" s="16" t="s">
        <v>38</v>
      </c>
      <c r="H7" s="16" t="s">
        <v>38</v>
      </c>
      <c r="I7" s="16" t="s">
        <v>38</v>
      </c>
      <c r="J7" s="16" t="s">
        <v>38</v>
      </c>
      <c r="K7" s="16" t="s">
        <v>38</v>
      </c>
      <c r="L7" s="16" t="s">
        <v>38</v>
      </c>
      <c r="M7" s="16" t="s">
        <v>38</v>
      </c>
      <c r="N7" s="16" t="s">
        <v>38</v>
      </c>
      <c r="O7" s="16" t="s">
        <v>38</v>
      </c>
      <c r="P7" s="16" t="s">
        <v>38</v>
      </c>
      <c r="Q7" s="16" t="s">
        <v>38</v>
      </c>
      <c r="R7" s="16" t="s">
        <v>38</v>
      </c>
      <c r="S7" s="16" t="s">
        <v>38</v>
      </c>
      <c r="T7" s="16" t="s">
        <v>38</v>
      </c>
      <c r="U7" s="16" t="s">
        <v>38</v>
      </c>
      <c r="V7" s="16" t="s">
        <v>38</v>
      </c>
      <c r="W7" s="16" t="s">
        <v>38</v>
      </c>
      <c r="X7" s="16" t="s">
        <v>38</v>
      </c>
      <c r="Y7" s="16" t="s">
        <v>38</v>
      </c>
      <c r="Z7" s="16" t="s">
        <v>38</v>
      </c>
      <c r="AA7" s="16" t="s">
        <v>38</v>
      </c>
      <c r="AB7" s="16" t="s">
        <v>38</v>
      </c>
      <c r="AC7" s="16" t="s">
        <v>38</v>
      </c>
      <c r="AD7" s="16" t="s">
        <v>38</v>
      </c>
      <c r="AE7" s="16" t="s">
        <v>38</v>
      </c>
      <c r="AF7" s="16" t="s">
        <v>38</v>
      </c>
      <c r="AG7" s="16" t="s">
        <v>38</v>
      </c>
      <c r="AH7" s="16" t="s">
        <v>38</v>
      </c>
    </row>
    <row r="8" spans="1:34">
      <c r="A8" s="29" t="s">
        <v>6</v>
      </c>
      <c r="B8" s="82">
        <v>254476.14911900001</v>
      </c>
      <c r="C8" s="82">
        <v>4505545.3174999999</v>
      </c>
      <c r="D8" s="16" t="s">
        <v>38</v>
      </c>
      <c r="E8" s="16" t="s">
        <v>38</v>
      </c>
      <c r="F8" s="16" t="s">
        <v>38</v>
      </c>
      <c r="G8" s="16" t="s">
        <v>38</v>
      </c>
      <c r="H8" s="16" t="s">
        <v>38</v>
      </c>
      <c r="I8" s="16" t="s">
        <v>38</v>
      </c>
      <c r="J8" s="16" t="s">
        <v>38</v>
      </c>
      <c r="K8" s="16" t="s">
        <v>38</v>
      </c>
      <c r="L8" s="16" t="s">
        <v>38</v>
      </c>
      <c r="M8" s="16" t="s">
        <v>38</v>
      </c>
      <c r="N8" s="16" t="s">
        <v>38</v>
      </c>
      <c r="O8" s="16" t="s">
        <v>38</v>
      </c>
      <c r="P8" s="16" t="s">
        <v>38</v>
      </c>
      <c r="Q8" s="16" t="s">
        <v>38</v>
      </c>
      <c r="R8" s="16" t="s">
        <v>38</v>
      </c>
      <c r="S8" s="16" t="s">
        <v>38</v>
      </c>
      <c r="T8" s="16" t="s">
        <v>38</v>
      </c>
      <c r="U8" s="16" t="s">
        <v>38</v>
      </c>
      <c r="V8" s="16" t="s">
        <v>38</v>
      </c>
      <c r="W8" s="16" t="s">
        <v>38</v>
      </c>
      <c r="X8" s="16" t="s">
        <v>38</v>
      </c>
      <c r="Y8" s="16" t="s">
        <v>38</v>
      </c>
      <c r="Z8" s="16" t="s">
        <v>38</v>
      </c>
      <c r="AA8" s="16" t="s">
        <v>38</v>
      </c>
      <c r="AB8" s="16" t="s">
        <v>38</v>
      </c>
      <c r="AC8" s="16" t="s">
        <v>38</v>
      </c>
      <c r="AD8" s="16" t="s">
        <v>38</v>
      </c>
      <c r="AE8" s="16" t="s">
        <v>38</v>
      </c>
      <c r="AF8" s="16" t="s">
        <v>38</v>
      </c>
      <c r="AG8" s="16" t="s">
        <v>38</v>
      </c>
      <c r="AH8" s="16" t="s">
        <v>38</v>
      </c>
    </row>
    <row r="9" spans="1:34">
      <c r="A9" s="29" t="s">
        <v>7</v>
      </c>
      <c r="B9" s="82">
        <v>254480.78639699999</v>
      </c>
      <c r="C9" s="82">
        <v>4505534.9529600004</v>
      </c>
      <c r="D9" s="16" t="s">
        <v>38</v>
      </c>
      <c r="E9" s="16" t="s">
        <v>38</v>
      </c>
      <c r="F9" s="16" t="s">
        <v>38</v>
      </c>
      <c r="G9" s="16" t="s">
        <v>38</v>
      </c>
      <c r="H9" s="16" t="s">
        <v>38</v>
      </c>
      <c r="I9" s="16" t="s">
        <v>38</v>
      </c>
      <c r="J9" s="16" t="s">
        <v>38</v>
      </c>
      <c r="K9" s="16" t="s">
        <v>38</v>
      </c>
      <c r="L9" s="16" t="s">
        <v>38</v>
      </c>
      <c r="M9" s="16" t="s">
        <v>38</v>
      </c>
      <c r="N9" s="16" t="s">
        <v>38</v>
      </c>
      <c r="O9" s="16" t="s">
        <v>38</v>
      </c>
      <c r="P9" s="16" t="s">
        <v>38</v>
      </c>
      <c r="Q9" s="16" t="s">
        <v>38</v>
      </c>
      <c r="R9" s="16" t="s">
        <v>38</v>
      </c>
      <c r="S9" s="16" t="s">
        <v>38</v>
      </c>
      <c r="T9" s="16" t="s">
        <v>38</v>
      </c>
      <c r="U9" s="16" t="s">
        <v>38</v>
      </c>
      <c r="V9" s="16" t="s">
        <v>38</v>
      </c>
      <c r="W9" s="16" t="s">
        <v>38</v>
      </c>
      <c r="X9" s="16" t="s">
        <v>38</v>
      </c>
      <c r="Y9" s="16" t="s">
        <v>38</v>
      </c>
      <c r="Z9" s="16" t="s">
        <v>38</v>
      </c>
      <c r="AA9" s="16" t="s">
        <v>38</v>
      </c>
      <c r="AB9" s="16" t="s">
        <v>38</v>
      </c>
      <c r="AC9" s="16" t="s">
        <v>38</v>
      </c>
      <c r="AD9" s="16" t="s">
        <v>38</v>
      </c>
      <c r="AE9" s="16" t="s">
        <v>38</v>
      </c>
      <c r="AF9" s="16" t="s">
        <v>38</v>
      </c>
      <c r="AG9" s="16" t="s">
        <v>38</v>
      </c>
      <c r="AH9" s="16" t="s">
        <v>38</v>
      </c>
    </row>
    <row r="10" spans="1:34">
      <c r="A10" s="29" t="s">
        <v>8</v>
      </c>
      <c r="B10" s="83">
        <v>254482.79284800001</v>
      </c>
      <c r="C10" s="83">
        <v>4505529.4775599996</v>
      </c>
      <c r="D10" s="16" t="s">
        <v>38</v>
      </c>
      <c r="E10" s="16" t="s">
        <v>38</v>
      </c>
      <c r="F10" s="16" t="s">
        <v>38</v>
      </c>
      <c r="G10" s="16" t="s">
        <v>38</v>
      </c>
      <c r="H10" s="16" t="s">
        <v>38</v>
      </c>
      <c r="I10" s="16" t="s">
        <v>38</v>
      </c>
      <c r="J10" s="16" t="s">
        <v>38</v>
      </c>
      <c r="K10" s="16" t="s">
        <v>38</v>
      </c>
      <c r="L10" s="16" t="s">
        <v>38</v>
      </c>
      <c r="M10" s="16" t="s">
        <v>38</v>
      </c>
      <c r="N10" s="16" t="s">
        <v>38</v>
      </c>
      <c r="O10" s="16" t="s">
        <v>38</v>
      </c>
      <c r="P10" s="16" t="s">
        <v>38</v>
      </c>
      <c r="Q10" s="16" t="s">
        <v>38</v>
      </c>
      <c r="R10" s="16" t="s">
        <v>38</v>
      </c>
      <c r="S10" s="16" t="s">
        <v>38</v>
      </c>
      <c r="T10" s="16" t="s">
        <v>38</v>
      </c>
      <c r="U10" s="16" t="s">
        <v>38</v>
      </c>
      <c r="V10" s="16" t="s">
        <v>38</v>
      </c>
      <c r="W10" s="16" t="s">
        <v>38</v>
      </c>
      <c r="X10" s="16" t="s">
        <v>38</v>
      </c>
      <c r="Y10" s="16" t="s">
        <v>38</v>
      </c>
      <c r="Z10" s="16" t="s">
        <v>38</v>
      </c>
      <c r="AA10" s="16" t="s">
        <v>38</v>
      </c>
      <c r="AB10" s="16" t="s">
        <v>38</v>
      </c>
      <c r="AC10" s="16" t="s">
        <v>38</v>
      </c>
      <c r="AD10" s="16" t="s">
        <v>38</v>
      </c>
      <c r="AE10" s="16" t="s">
        <v>38</v>
      </c>
      <c r="AF10" s="16" t="s">
        <v>38</v>
      </c>
      <c r="AG10" s="16" t="s">
        <v>38</v>
      </c>
      <c r="AH10" s="16" t="s">
        <v>38</v>
      </c>
    </row>
    <row r="11" spans="1:34">
      <c r="A11" s="29" t="s">
        <v>9</v>
      </c>
      <c r="B11" s="83">
        <v>254484.75221499999</v>
      </c>
      <c r="C11" s="83">
        <v>4505526.81066</v>
      </c>
      <c r="D11" s="16" t="s">
        <v>38</v>
      </c>
      <c r="E11" s="16" t="s">
        <v>38</v>
      </c>
      <c r="F11" s="16" t="s">
        <v>38</v>
      </c>
      <c r="G11" s="16" t="s">
        <v>38</v>
      </c>
      <c r="H11" s="16" t="s">
        <v>38</v>
      </c>
      <c r="I11" s="16" t="s">
        <v>38</v>
      </c>
      <c r="J11" s="16" t="s">
        <v>38</v>
      </c>
      <c r="K11" s="16" t="s">
        <v>38</v>
      </c>
      <c r="L11" s="16" t="s">
        <v>38</v>
      </c>
      <c r="M11" s="16" t="s">
        <v>38</v>
      </c>
      <c r="N11" s="16" t="s">
        <v>38</v>
      </c>
      <c r="O11" s="16" t="s">
        <v>38</v>
      </c>
      <c r="P11" s="16" t="s">
        <v>38</v>
      </c>
      <c r="Q11" s="16" t="s">
        <v>38</v>
      </c>
      <c r="R11" s="16" t="s">
        <v>38</v>
      </c>
      <c r="S11" s="16" t="s">
        <v>38</v>
      </c>
      <c r="T11" s="16" t="s">
        <v>38</v>
      </c>
      <c r="U11" s="16" t="s">
        <v>38</v>
      </c>
      <c r="V11" s="16" t="s">
        <v>38</v>
      </c>
      <c r="W11" s="16" t="s">
        <v>38</v>
      </c>
      <c r="X11" s="16" t="s">
        <v>38</v>
      </c>
      <c r="Y11" s="16" t="s">
        <v>38</v>
      </c>
      <c r="Z11" s="16" t="s">
        <v>38</v>
      </c>
      <c r="AA11" s="16" t="s">
        <v>38</v>
      </c>
      <c r="AB11" s="16" t="s">
        <v>38</v>
      </c>
      <c r="AC11" s="16" t="s">
        <v>38</v>
      </c>
      <c r="AD11" s="16" t="s">
        <v>38</v>
      </c>
      <c r="AE11" s="16" t="s">
        <v>38</v>
      </c>
      <c r="AF11" s="16" t="s">
        <v>38</v>
      </c>
      <c r="AG11" s="16" t="s">
        <v>38</v>
      </c>
      <c r="AH11" s="16" t="s">
        <v>38</v>
      </c>
    </row>
    <row r="12" spans="1:34">
      <c r="A12" s="29">
        <v>1</v>
      </c>
      <c r="B12" s="83">
        <v>254273.42219000001</v>
      </c>
      <c r="C12" s="83">
        <v>4505589.5737600001</v>
      </c>
      <c r="D12" s="16" t="s">
        <v>38</v>
      </c>
      <c r="E12" s="16" t="s">
        <v>38</v>
      </c>
      <c r="F12" s="16" t="s">
        <v>38</v>
      </c>
      <c r="G12" s="16" t="s">
        <v>38</v>
      </c>
      <c r="H12" s="16" t="s">
        <v>38</v>
      </c>
      <c r="I12" s="16" t="s">
        <v>38</v>
      </c>
      <c r="J12" s="16" t="s">
        <v>38</v>
      </c>
      <c r="K12" s="16" t="s">
        <v>38</v>
      </c>
      <c r="L12" s="16" t="s">
        <v>38</v>
      </c>
      <c r="M12" s="16" t="s">
        <v>38</v>
      </c>
      <c r="N12" s="16" t="s">
        <v>38</v>
      </c>
      <c r="O12" s="16" t="s">
        <v>38</v>
      </c>
      <c r="P12" s="16" t="s">
        <v>38</v>
      </c>
      <c r="Q12" s="16" t="s">
        <v>38</v>
      </c>
      <c r="R12" s="16" t="s">
        <v>38</v>
      </c>
      <c r="S12" s="16" t="s">
        <v>38</v>
      </c>
      <c r="T12" s="16" t="s">
        <v>38</v>
      </c>
      <c r="U12" s="16" t="s">
        <v>38</v>
      </c>
      <c r="V12" s="16" t="s">
        <v>38</v>
      </c>
      <c r="W12" s="16" t="s">
        <v>38</v>
      </c>
      <c r="X12" s="16" t="s">
        <v>38</v>
      </c>
      <c r="Y12" s="16" t="s">
        <v>38</v>
      </c>
      <c r="Z12" s="16" t="s">
        <v>38</v>
      </c>
      <c r="AA12" s="16" t="s">
        <v>38</v>
      </c>
      <c r="AB12" s="16" t="s">
        <v>38</v>
      </c>
      <c r="AC12" s="16" t="s">
        <v>38</v>
      </c>
      <c r="AD12" s="16" t="s">
        <v>38</v>
      </c>
      <c r="AE12" s="16" t="s">
        <v>38</v>
      </c>
      <c r="AF12" s="16" t="s">
        <v>38</v>
      </c>
      <c r="AG12" s="16" t="s">
        <v>38</v>
      </c>
      <c r="AH12" s="16" t="s">
        <v>38</v>
      </c>
    </row>
    <row r="13" spans="1:34">
      <c r="A13" s="29">
        <v>2</v>
      </c>
      <c r="B13" s="83">
        <v>254268.40893599999</v>
      </c>
      <c r="C13" s="83">
        <v>4505552.5855400003</v>
      </c>
      <c r="D13" s="16" t="s">
        <v>38</v>
      </c>
      <c r="E13" s="16" t="s">
        <v>38</v>
      </c>
      <c r="F13" s="16" t="s">
        <v>38</v>
      </c>
      <c r="G13" s="16" t="s">
        <v>38</v>
      </c>
      <c r="H13" s="16" t="s">
        <v>38</v>
      </c>
      <c r="I13" s="16" t="s">
        <v>38</v>
      </c>
      <c r="J13" s="16" t="s">
        <v>38</v>
      </c>
      <c r="K13" s="16" t="s">
        <v>38</v>
      </c>
      <c r="L13" s="16" t="s">
        <v>38</v>
      </c>
      <c r="M13" s="16" t="s">
        <v>38</v>
      </c>
      <c r="N13" s="16" t="s">
        <v>38</v>
      </c>
      <c r="O13" s="16" t="s">
        <v>38</v>
      </c>
      <c r="P13" s="16" t="s">
        <v>38</v>
      </c>
      <c r="Q13" s="16" t="s">
        <v>38</v>
      </c>
      <c r="R13" s="16" t="s">
        <v>38</v>
      </c>
      <c r="S13" s="16" t="s">
        <v>38</v>
      </c>
      <c r="T13" s="16" t="s">
        <v>38</v>
      </c>
      <c r="U13" s="16" t="s">
        <v>38</v>
      </c>
      <c r="V13" s="16" t="s">
        <v>38</v>
      </c>
      <c r="W13" s="16" t="s">
        <v>38</v>
      </c>
      <c r="X13" s="16" t="s">
        <v>38</v>
      </c>
      <c r="Y13" s="16" t="s">
        <v>38</v>
      </c>
      <c r="Z13" s="16" t="s">
        <v>38</v>
      </c>
      <c r="AA13" s="16" t="s">
        <v>38</v>
      </c>
      <c r="AB13" s="16" t="s">
        <v>38</v>
      </c>
      <c r="AC13" s="16" t="s">
        <v>38</v>
      </c>
      <c r="AD13" s="16" t="s">
        <v>38</v>
      </c>
      <c r="AE13" s="16" t="s">
        <v>38</v>
      </c>
      <c r="AF13" s="16" t="s">
        <v>38</v>
      </c>
      <c r="AG13" s="16" t="s">
        <v>38</v>
      </c>
      <c r="AH13" s="16" t="s">
        <v>38</v>
      </c>
    </row>
    <row r="14" spans="1:34">
      <c r="A14" s="29">
        <v>3</v>
      </c>
      <c r="B14" s="83">
        <v>254274.76034199999</v>
      </c>
      <c r="C14" s="83">
        <v>4505519.1361699998</v>
      </c>
      <c r="D14" s="16" t="s">
        <v>38</v>
      </c>
      <c r="E14" s="16" t="s">
        <v>38</v>
      </c>
      <c r="F14" s="16" t="s">
        <v>38</v>
      </c>
      <c r="G14" s="16" t="s">
        <v>38</v>
      </c>
      <c r="H14" s="16" t="s">
        <v>38</v>
      </c>
      <c r="I14" s="16" t="s">
        <v>38</v>
      </c>
      <c r="J14" s="16" t="s">
        <v>38</v>
      </c>
      <c r="K14" s="16" t="s">
        <v>38</v>
      </c>
      <c r="L14" s="16" t="s">
        <v>38</v>
      </c>
      <c r="M14" s="16" t="s">
        <v>38</v>
      </c>
      <c r="N14" s="16" t="s">
        <v>38</v>
      </c>
      <c r="O14" s="16" t="s">
        <v>38</v>
      </c>
      <c r="P14" s="16" t="s">
        <v>38</v>
      </c>
      <c r="Q14" s="16" t="s">
        <v>38</v>
      </c>
      <c r="R14" s="16" t="s">
        <v>38</v>
      </c>
      <c r="S14" s="16" t="s">
        <v>38</v>
      </c>
      <c r="T14" s="16" t="s">
        <v>38</v>
      </c>
      <c r="U14" s="16" t="s">
        <v>38</v>
      </c>
      <c r="V14" s="16" t="s">
        <v>38</v>
      </c>
      <c r="W14" s="16" t="s">
        <v>38</v>
      </c>
      <c r="X14" s="16" t="s">
        <v>38</v>
      </c>
      <c r="Y14" s="16" t="s">
        <v>38</v>
      </c>
      <c r="Z14" s="16" t="s">
        <v>38</v>
      </c>
      <c r="AA14" s="16" t="s">
        <v>38</v>
      </c>
      <c r="AB14" s="16" t="s">
        <v>38</v>
      </c>
      <c r="AC14" s="16" t="s">
        <v>38</v>
      </c>
      <c r="AD14" s="16" t="s">
        <v>38</v>
      </c>
      <c r="AE14" s="16" t="s">
        <v>38</v>
      </c>
      <c r="AF14" s="16" t="s">
        <v>38</v>
      </c>
      <c r="AG14" s="16" t="s">
        <v>38</v>
      </c>
      <c r="AH14" s="16" t="s">
        <v>38</v>
      </c>
    </row>
    <row r="15" spans="1:34">
      <c r="A15" s="29">
        <v>4</v>
      </c>
      <c r="B15" s="83">
        <v>254256.98182799999</v>
      </c>
      <c r="C15" s="83">
        <v>4505565.69778</v>
      </c>
      <c r="D15" s="16" t="s">
        <v>38</v>
      </c>
      <c r="E15" s="16" t="s">
        <v>38</v>
      </c>
      <c r="F15" s="16" t="s">
        <v>38</v>
      </c>
      <c r="G15" s="16" t="s">
        <v>38</v>
      </c>
      <c r="H15" s="16" t="s">
        <v>38</v>
      </c>
      <c r="I15" s="16" t="s">
        <v>38</v>
      </c>
      <c r="J15" s="16" t="s">
        <v>38</v>
      </c>
      <c r="K15" s="16" t="s">
        <v>38</v>
      </c>
      <c r="L15" s="16" t="s">
        <v>38</v>
      </c>
      <c r="M15" s="16" t="s">
        <v>38</v>
      </c>
      <c r="N15" s="16" t="s">
        <v>38</v>
      </c>
      <c r="O15" s="16" t="s">
        <v>38</v>
      </c>
      <c r="P15" s="16" t="s">
        <v>38</v>
      </c>
      <c r="Q15" s="16" t="s">
        <v>38</v>
      </c>
      <c r="R15" s="16" t="s">
        <v>38</v>
      </c>
      <c r="S15" s="16" t="s">
        <v>38</v>
      </c>
      <c r="T15" s="16" t="s">
        <v>38</v>
      </c>
      <c r="U15" s="16" t="s">
        <v>38</v>
      </c>
      <c r="V15" s="16" t="s">
        <v>38</v>
      </c>
      <c r="W15" s="16" t="s">
        <v>38</v>
      </c>
      <c r="X15" s="16" t="s">
        <v>38</v>
      </c>
      <c r="Y15" s="16" t="s">
        <v>38</v>
      </c>
      <c r="Z15" s="16" t="s">
        <v>38</v>
      </c>
      <c r="AA15" s="16" t="s">
        <v>38</v>
      </c>
      <c r="AB15" s="16" t="s">
        <v>38</v>
      </c>
      <c r="AC15" s="16" t="s">
        <v>38</v>
      </c>
      <c r="AD15" s="16" t="s">
        <v>38</v>
      </c>
      <c r="AE15" s="16" t="s">
        <v>38</v>
      </c>
      <c r="AF15" s="16" t="s">
        <v>38</v>
      </c>
      <c r="AG15" s="16" t="s">
        <v>38</v>
      </c>
      <c r="AH15" s="16" t="s">
        <v>38</v>
      </c>
    </row>
    <row r="16" spans="1:34">
      <c r="A16" s="29">
        <v>5</v>
      </c>
      <c r="B16" s="83">
        <v>254279.200835</v>
      </c>
      <c r="C16" s="83">
        <v>4505539.2380799996</v>
      </c>
      <c r="D16" s="16" t="s">
        <v>38</v>
      </c>
      <c r="E16" s="16" t="s">
        <v>38</v>
      </c>
      <c r="F16" s="16" t="s">
        <v>38</v>
      </c>
      <c r="G16" s="16" t="s">
        <v>38</v>
      </c>
      <c r="H16" s="16" t="s">
        <v>38</v>
      </c>
      <c r="I16" s="16" t="s">
        <v>38</v>
      </c>
      <c r="J16" s="16" t="s">
        <v>38</v>
      </c>
      <c r="K16" s="16" t="s">
        <v>38</v>
      </c>
      <c r="L16" s="16" t="s">
        <v>38</v>
      </c>
      <c r="M16" s="16" t="s">
        <v>38</v>
      </c>
      <c r="N16" s="16" t="s">
        <v>38</v>
      </c>
      <c r="O16" s="16" t="s">
        <v>38</v>
      </c>
      <c r="P16" s="16" t="s">
        <v>38</v>
      </c>
      <c r="Q16" s="16" t="s">
        <v>38</v>
      </c>
      <c r="R16" s="16" t="s">
        <v>38</v>
      </c>
      <c r="S16" s="16" t="s">
        <v>38</v>
      </c>
      <c r="T16" s="16" t="s">
        <v>38</v>
      </c>
      <c r="U16" s="16" t="s">
        <v>38</v>
      </c>
      <c r="V16" s="16" t="s">
        <v>38</v>
      </c>
      <c r="W16" s="16" t="s">
        <v>38</v>
      </c>
      <c r="X16" s="16" t="s">
        <v>38</v>
      </c>
      <c r="Y16" s="16" t="s">
        <v>38</v>
      </c>
      <c r="Z16" s="16" t="s">
        <v>38</v>
      </c>
      <c r="AA16" s="16" t="s">
        <v>38</v>
      </c>
      <c r="AB16" s="16" t="s">
        <v>38</v>
      </c>
      <c r="AC16" s="16" t="s">
        <v>38</v>
      </c>
      <c r="AD16" s="16" t="s">
        <v>38</v>
      </c>
      <c r="AE16" s="16" t="s">
        <v>38</v>
      </c>
      <c r="AF16" s="16" t="s">
        <v>38</v>
      </c>
      <c r="AG16" s="16" t="s">
        <v>38</v>
      </c>
      <c r="AH16" s="16" t="s">
        <v>38</v>
      </c>
    </row>
    <row r="17" spans="1:34">
      <c r="A17" s="29">
        <v>6</v>
      </c>
      <c r="B17" s="82">
        <v>254321.19506200001</v>
      </c>
      <c r="C17" s="82">
        <v>4505578.1072300002</v>
      </c>
      <c r="D17" s="16" t="s">
        <v>38</v>
      </c>
      <c r="E17" s="16" t="s">
        <v>38</v>
      </c>
      <c r="F17" s="16" t="s">
        <v>38</v>
      </c>
      <c r="G17" s="16" t="s">
        <v>38</v>
      </c>
      <c r="H17" s="16" t="s">
        <v>38</v>
      </c>
      <c r="I17" s="16" t="s">
        <v>38</v>
      </c>
      <c r="J17" s="16" t="s">
        <v>38</v>
      </c>
      <c r="K17" s="16" t="s">
        <v>38</v>
      </c>
      <c r="L17" s="16" t="s">
        <v>38</v>
      </c>
      <c r="M17" s="16" t="s">
        <v>38</v>
      </c>
      <c r="N17" s="16" t="s">
        <v>38</v>
      </c>
      <c r="O17" s="16">
        <v>0.50900000000000001</v>
      </c>
      <c r="P17" s="16">
        <v>0.47899999999999998</v>
      </c>
      <c r="Q17" s="16">
        <v>0.49199999999999999</v>
      </c>
      <c r="R17" s="16">
        <v>0.51800000000000002</v>
      </c>
      <c r="S17" s="16">
        <v>0.55400000000000005</v>
      </c>
      <c r="T17" s="16">
        <v>0.51800000000000002</v>
      </c>
      <c r="U17" s="16">
        <v>0.52500000000000002</v>
      </c>
      <c r="V17" s="16">
        <v>0.504</v>
      </c>
      <c r="W17" s="16">
        <v>0.48399999999999999</v>
      </c>
      <c r="X17" s="16" t="s">
        <v>38</v>
      </c>
      <c r="Y17" s="16">
        <v>0.54</v>
      </c>
      <c r="Z17" s="16">
        <v>0.48199999999999998</v>
      </c>
      <c r="AA17" s="16">
        <v>0.434</v>
      </c>
      <c r="AB17" s="16">
        <v>0.42899999999999999</v>
      </c>
      <c r="AC17" s="16">
        <v>0.434</v>
      </c>
      <c r="AD17" s="16">
        <v>0.44600000000000001</v>
      </c>
      <c r="AE17" s="16">
        <v>0.34799999999999998</v>
      </c>
      <c r="AF17" s="16">
        <v>0.27300000000000002</v>
      </c>
      <c r="AG17" s="16">
        <v>0.27300000000000002</v>
      </c>
      <c r="AH17" s="16" t="s">
        <v>38</v>
      </c>
    </row>
    <row r="18" spans="1:34">
      <c r="A18" s="29">
        <v>7</v>
      </c>
      <c r="B18" s="82">
        <v>254315.12577700001</v>
      </c>
      <c r="C18" s="82">
        <v>4505538.1711100005</v>
      </c>
      <c r="D18" s="16" t="s">
        <v>38</v>
      </c>
      <c r="E18" s="16" t="s">
        <v>38</v>
      </c>
      <c r="F18" s="16" t="s">
        <v>38</v>
      </c>
      <c r="G18" s="16" t="s">
        <v>38</v>
      </c>
      <c r="H18" s="16" t="s">
        <v>38</v>
      </c>
      <c r="I18" s="16" t="s">
        <v>38</v>
      </c>
      <c r="J18" s="16" t="s">
        <v>38</v>
      </c>
      <c r="K18" s="16" t="s">
        <v>38</v>
      </c>
      <c r="L18" s="16" t="s">
        <v>38</v>
      </c>
      <c r="M18" s="16" t="s">
        <v>38</v>
      </c>
      <c r="N18" s="16" t="s">
        <v>38</v>
      </c>
      <c r="O18" s="16">
        <v>0.189</v>
      </c>
      <c r="P18" s="16">
        <v>0.185</v>
      </c>
      <c r="Q18" s="16">
        <v>0.19800000000000001</v>
      </c>
      <c r="R18" s="16">
        <v>0.189</v>
      </c>
      <c r="S18" s="16">
        <v>0.182</v>
      </c>
      <c r="T18" s="16">
        <v>0.16400000000000001</v>
      </c>
      <c r="U18" s="16">
        <v>0.16300000000000001</v>
      </c>
      <c r="V18" s="16">
        <v>0.159</v>
      </c>
      <c r="W18" s="16">
        <v>0.19400000000000001</v>
      </c>
      <c r="X18" s="16">
        <v>0.16200000000000001</v>
      </c>
      <c r="Y18" s="16">
        <v>0.20100000000000001</v>
      </c>
      <c r="Z18" s="16">
        <v>0.17599999999999999</v>
      </c>
      <c r="AA18" s="16">
        <v>0.16700000000000001</v>
      </c>
      <c r="AB18" s="16">
        <v>0.16200000000000001</v>
      </c>
      <c r="AC18" s="16">
        <v>0.13400000000000001</v>
      </c>
      <c r="AD18" s="16">
        <v>0.129</v>
      </c>
      <c r="AE18" s="16">
        <v>0.155</v>
      </c>
      <c r="AF18" s="16">
        <v>0.128</v>
      </c>
      <c r="AG18" s="16">
        <v>0.128</v>
      </c>
      <c r="AH18" s="16">
        <v>0.157</v>
      </c>
    </row>
    <row r="19" spans="1:34">
      <c r="A19" s="29">
        <v>8</v>
      </c>
      <c r="B19" s="82">
        <v>254315.63247400001</v>
      </c>
      <c r="C19" s="82">
        <v>4505540.80064</v>
      </c>
      <c r="D19" s="16" t="s">
        <v>38</v>
      </c>
      <c r="E19" s="16" t="s">
        <v>38</v>
      </c>
      <c r="F19" s="16" t="s">
        <v>38</v>
      </c>
      <c r="G19" s="16" t="s">
        <v>38</v>
      </c>
      <c r="H19" s="16" t="s">
        <v>38</v>
      </c>
      <c r="I19" s="16" t="s">
        <v>38</v>
      </c>
      <c r="J19" s="16" t="s">
        <v>38</v>
      </c>
      <c r="K19" s="16" t="s">
        <v>38</v>
      </c>
      <c r="L19" s="16" t="s">
        <v>38</v>
      </c>
      <c r="M19" s="16" t="s">
        <v>38</v>
      </c>
      <c r="N19" s="16" t="s">
        <v>38</v>
      </c>
      <c r="O19" s="16">
        <v>0.40500000000000003</v>
      </c>
      <c r="P19" s="16">
        <v>0.16400000000000001</v>
      </c>
      <c r="Q19" s="16">
        <v>0.157</v>
      </c>
      <c r="R19" s="16">
        <v>0.158</v>
      </c>
      <c r="S19" s="16">
        <v>0.14699999999999999</v>
      </c>
      <c r="T19" s="16">
        <v>0.13700000000000001</v>
      </c>
      <c r="U19" s="16">
        <v>0.13100000000000001</v>
      </c>
      <c r="V19" s="16">
        <v>0.129</v>
      </c>
      <c r="W19" s="16">
        <v>0.157</v>
      </c>
      <c r="X19" s="16">
        <v>0.14699999999999999</v>
      </c>
      <c r="Y19" s="16">
        <v>0.17</v>
      </c>
      <c r="Z19" s="16">
        <v>0.157</v>
      </c>
      <c r="AA19" s="16">
        <v>0.13800000000000001</v>
      </c>
      <c r="AB19" s="16">
        <v>0.127</v>
      </c>
      <c r="AC19" s="16">
        <v>0.123</v>
      </c>
      <c r="AD19" s="16">
        <v>0.11600000000000001</v>
      </c>
      <c r="AE19" s="16">
        <v>0.13800000000000001</v>
      </c>
      <c r="AF19" s="16">
        <v>0.121</v>
      </c>
      <c r="AG19" s="16">
        <v>0.121</v>
      </c>
      <c r="AH19" s="16">
        <v>0.121</v>
      </c>
    </row>
    <row r="20" spans="1:34">
      <c r="A20" s="29">
        <v>9</v>
      </c>
      <c r="B20" s="82">
        <v>254318.80336600001</v>
      </c>
      <c r="C20" s="82">
        <v>4505533.64805</v>
      </c>
      <c r="D20" s="16" t="s">
        <v>38</v>
      </c>
      <c r="E20" s="16" t="s">
        <v>38</v>
      </c>
      <c r="F20" s="16" t="s">
        <v>38</v>
      </c>
      <c r="G20" s="16" t="s">
        <v>38</v>
      </c>
      <c r="H20" s="16" t="s">
        <v>38</v>
      </c>
      <c r="I20" s="16" t="s">
        <v>38</v>
      </c>
      <c r="J20" s="16" t="s">
        <v>38</v>
      </c>
      <c r="K20" s="16" t="s">
        <v>38</v>
      </c>
      <c r="L20" s="16" t="s">
        <v>38</v>
      </c>
      <c r="M20" s="16" t="s">
        <v>38</v>
      </c>
      <c r="N20" s="16" t="s">
        <v>38</v>
      </c>
      <c r="O20" s="16">
        <v>0.184</v>
      </c>
      <c r="P20" s="16">
        <v>0.189</v>
      </c>
      <c r="Q20" s="16">
        <v>0.182</v>
      </c>
      <c r="R20" s="16">
        <v>0.183</v>
      </c>
      <c r="S20" s="16">
        <v>0.17899999999999999</v>
      </c>
      <c r="T20" s="16">
        <v>0.16500000000000001</v>
      </c>
      <c r="U20" s="16">
        <v>0.16</v>
      </c>
      <c r="V20" s="16">
        <v>0.16700000000000001</v>
      </c>
      <c r="W20" s="16">
        <v>0.182</v>
      </c>
      <c r="X20" s="16">
        <v>0.16700000000000001</v>
      </c>
      <c r="Y20" s="16">
        <v>0.183</v>
      </c>
      <c r="Z20" s="16">
        <v>0.185</v>
      </c>
      <c r="AA20" s="16">
        <v>0.14699999999999999</v>
      </c>
      <c r="AB20" s="16">
        <v>0.161</v>
      </c>
      <c r="AC20" s="16">
        <v>0.13500000000000001</v>
      </c>
      <c r="AD20" s="16">
        <v>0.13</v>
      </c>
      <c r="AE20" s="16">
        <v>0.14799999999999999</v>
      </c>
      <c r="AF20" s="16">
        <v>0.14699999999999999</v>
      </c>
      <c r="AG20" s="16">
        <v>0.14699999999999999</v>
      </c>
      <c r="AH20" s="16">
        <v>0.193</v>
      </c>
    </row>
    <row r="21" spans="1:34">
      <c r="A21" s="29">
        <v>10</v>
      </c>
      <c r="B21" s="82">
        <v>254304.411941</v>
      </c>
      <c r="C21" s="82">
        <v>4505533.3200700004</v>
      </c>
      <c r="D21" s="19" t="s">
        <v>38</v>
      </c>
      <c r="E21" s="19">
        <v>0.19500000000000001</v>
      </c>
      <c r="F21" s="19">
        <v>0.18149999999999999</v>
      </c>
      <c r="G21" s="19">
        <v>0.17449999999999999</v>
      </c>
      <c r="H21" s="19">
        <v>0.17899999999999999</v>
      </c>
      <c r="I21" s="19" t="s">
        <v>38</v>
      </c>
      <c r="J21" s="19">
        <v>0.1615</v>
      </c>
      <c r="K21" s="19">
        <v>0.1515</v>
      </c>
      <c r="L21" s="19">
        <v>0.13350000000000001</v>
      </c>
      <c r="M21" s="19">
        <v>0.14150000000000001</v>
      </c>
      <c r="N21" s="19">
        <v>0.11599999999999999</v>
      </c>
      <c r="O21" s="16">
        <v>0.20799999999999999</v>
      </c>
      <c r="P21" s="16">
        <v>0.20300000000000001</v>
      </c>
      <c r="Q21" s="16">
        <v>0.20399999999999999</v>
      </c>
      <c r="R21" s="16">
        <v>0.20100000000000001</v>
      </c>
      <c r="S21" s="17">
        <v>0.20499999999999999</v>
      </c>
      <c r="T21" s="16">
        <v>0.186</v>
      </c>
      <c r="U21" s="17">
        <v>0.191</v>
      </c>
      <c r="V21" s="17">
        <v>0.20599999999999999</v>
      </c>
      <c r="W21" s="17">
        <v>0.20499999999999999</v>
      </c>
      <c r="X21" s="16">
        <v>0.19800000000000001</v>
      </c>
      <c r="Y21" s="16">
        <v>0.217</v>
      </c>
      <c r="Z21" s="16">
        <v>0.182</v>
      </c>
      <c r="AA21" s="16">
        <v>0.16</v>
      </c>
      <c r="AB21" s="16">
        <v>0.161</v>
      </c>
      <c r="AC21" s="16">
        <v>0.159</v>
      </c>
      <c r="AD21" s="16">
        <v>0.153</v>
      </c>
      <c r="AE21" s="16">
        <v>0.184</v>
      </c>
      <c r="AF21" s="16">
        <v>0.16600000000000001</v>
      </c>
      <c r="AG21" s="16">
        <v>0.222</v>
      </c>
      <c r="AH21" s="16">
        <v>0.22800000000000001</v>
      </c>
    </row>
    <row r="22" spans="1:34">
      <c r="A22" s="29">
        <v>11</v>
      </c>
      <c r="B22" s="82">
        <v>254377.22509600001</v>
      </c>
      <c r="C22" s="82">
        <v>4505568.8344999999</v>
      </c>
      <c r="D22" s="16" t="s">
        <v>38</v>
      </c>
      <c r="E22" s="16" t="s">
        <v>38</v>
      </c>
      <c r="F22" s="16" t="s">
        <v>38</v>
      </c>
      <c r="G22" s="16" t="s">
        <v>38</v>
      </c>
      <c r="H22" s="16" t="s">
        <v>38</v>
      </c>
      <c r="I22" s="16" t="s">
        <v>38</v>
      </c>
      <c r="J22" s="16" t="s">
        <v>38</v>
      </c>
      <c r="K22" s="16" t="s">
        <v>38</v>
      </c>
      <c r="L22" s="16" t="s">
        <v>38</v>
      </c>
      <c r="M22" s="16" t="s">
        <v>38</v>
      </c>
      <c r="N22" s="16" t="s">
        <v>38</v>
      </c>
      <c r="O22" s="16">
        <v>0.40600000000000003</v>
      </c>
      <c r="P22" s="16">
        <v>0.45200000000000001</v>
      </c>
      <c r="Q22" s="16">
        <v>0.44900000000000001</v>
      </c>
      <c r="R22" s="16">
        <v>0.50900000000000001</v>
      </c>
      <c r="S22" s="16">
        <v>0.44600000000000001</v>
      </c>
      <c r="T22" s="16">
        <v>0.436</v>
      </c>
      <c r="U22" s="16">
        <v>0.42399999999999999</v>
      </c>
      <c r="V22" s="16">
        <v>0.42099999999999999</v>
      </c>
      <c r="W22" s="16">
        <v>0.41799999999999998</v>
      </c>
      <c r="X22" s="16">
        <v>0.45800000000000002</v>
      </c>
      <c r="Y22" s="16">
        <v>0.40200000000000002</v>
      </c>
      <c r="Z22" s="16">
        <v>0.38</v>
      </c>
      <c r="AA22" s="16">
        <v>0.34300000000000003</v>
      </c>
      <c r="AB22" s="16">
        <v>0.32500000000000001</v>
      </c>
      <c r="AC22" s="16">
        <v>0.31</v>
      </c>
      <c r="AD22" s="16">
        <v>0.311</v>
      </c>
      <c r="AE22" s="16">
        <v>0.36199999999999999</v>
      </c>
      <c r="AF22" s="16">
        <v>0.308</v>
      </c>
      <c r="AG22" s="16">
        <v>0.308</v>
      </c>
      <c r="AH22" s="16">
        <v>0.38800000000000001</v>
      </c>
    </row>
    <row r="23" spans="1:34">
      <c r="A23" s="29">
        <v>12</v>
      </c>
      <c r="B23" s="82">
        <v>254378.35348799999</v>
      </c>
      <c r="C23" s="82">
        <v>4505539.32706</v>
      </c>
      <c r="D23" s="16" t="s">
        <v>38</v>
      </c>
      <c r="E23" s="16" t="s">
        <v>38</v>
      </c>
      <c r="F23" s="16" t="s">
        <v>38</v>
      </c>
      <c r="G23" s="16" t="s">
        <v>38</v>
      </c>
      <c r="H23" s="16" t="s">
        <v>38</v>
      </c>
      <c r="I23" s="16" t="s">
        <v>38</v>
      </c>
      <c r="J23" s="16" t="s">
        <v>38</v>
      </c>
      <c r="K23" s="16" t="s">
        <v>38</v>
      </c>
      <c r="L23" s="16" t="s">
        <v>38</v>
      </c>
      <c r="M23" s="16" t="s">
        <v>38</v>
      </c>
      <c r="N23" s="16" t="s">
        <v>38</v>
      </c>
      <c r="O23" s="16">
        <v>0.41599999999999998</v>
      </c>
      <c r="P23" s="16">
        <v>0.41399999999999998</v>
      </c>
      <c r="Q23" s="16">
        <v>0.40500000000000003</v>
      </c>
      <c r="R23" s="16">
        <v>0.438</v>
      </c>
      <c r="S23" s="16">
        <v>0.38400000000000001</v>
      </c>
      <c r="T23" s="16">
        <v>0.40300000000000002</v>
      </c>
      <c r="U23" s="16">
        <v>0.39</v>
      </c>
      <c r="V23" s="16">
        <v>0.38700000000000001</v>
      </c>
      <c r="W23" s="16">
        <v>0.36799999999999999</v>
      </c>
      <c r="X23" s="16">
        <v>0.39400000000000002</v>
      </c>
      <c r="Y23" s="16">
        <v>0.44700000000000001</v>
      </c>
      <c r="Z23" s="16">
        <v>0.37</v>
      </c>
      <c r="AA23" s="16">
        <v>0.28999999999999998</v>
      </c>
      <c r="AB23" s="16">
        <v>0.27200000000000002</v>
      </c>
      <c r="AC23" s="16">
        <v>0.23899999999999999</v>
      </c>
      <c r="AD23" s="16">
        <v>0.23599999999999999</v>
      </c>
      <c r="AE23" s="16">
        <v>0.27900000000000003</v>
      </c>
      <c r="AF23" s="16">
        <v>0.24299999999999999</v>
      </c>
      <c r="AG23" s="16">
        <v>0.24299999999999999</v>
      </c>
      <c r="AH23" s="16">
        <v>0.28899999999999998</v>
      </c>
    </row>
    <row r="24" spans="1:34">
      <c r="A24" s="29">
        <v>13</v>
      </c>
      <c r="B24" s="82">
        <v>254394.38724800001</v>
      </c>
      <c r="C24" s="82">
        <v>4505500.7558800001</v>
      </c>
      <c r="D24" s="16" t="s">
        <v>38</v>
      </c>
      <c r="E24" s="16" t="s">
        <v>38</v>
      </c>
      <c r="F24" s="16" t="s">
        <v>38</v>
      </c>
      <c r="G24" s="16" t="s">
        <v>38</v>
      </c>
      <c r="H24" s="16" t="s">
        <v>38</v>
      </c>
      <c r="I24" s="16" t="s">
        <v>38</v>
      </c>
      <c r="J24" s="16" t="s">
        <v>38</v>
      </c>
      <c r="K24" s="16" t="s">
        <v>38</v>
      </c>
      <c r="L24" s="16" t="s">
        <v>38</v>
      </c>
      <c r="M24" s="16" t="s">
        <v>38</v>
      </c>
      <c r="N24" s="16" t="s">
        <v>38</v>
      </c>
      <c r="O24" s="16">
        <v>0.32</v>
      </c>
      <c r="P24" s="16" t="s">
        <v>38</v>
      </c>
      <c r="Q24" s="16" t="s">
        <v>38</v>
      </c>
      <c r="R24" s="16" t="s">
        <v>38</v>
      </c>
      <c r="S24" s="16">
        <v>0.29099999999999998</v>
      </c>
      <c r="T24" s="16">
        <v>0.29299999999999998</v>
      </c>
      <c r="U24" s="16">
        <v>0.34100000000000003</v>
      </c>
      <c r="V24" s="16">
        <v>0.34499999999999997</v>
      </c>
      <c r="W24" s="16" t="s">
        <v>38</v>
      </c>
      <c r="X24" s="16">
        <v>0.32100000000000001</v>
      </c>
      <c r="Y24" s="16">
        <v>0.27200000000000002</v>
      </c>
      <c r="Z24" s="16">
        <v>0.25600000000000001</v>
      </c>
      <c r="AA24" s="16">
        <v>0.219</v>
      </c>
      <c r="AB24" s="16">
        <v>0.20100000000000001</v>
      </c>
      <c r="AC24" s="16">
        <v>0.20300000000000001</v>
      </c>
      <c r="AD24" s="16">
        <v>0.19500000000000001</v>
      </c>
      <c r="AE24" s="16">
        <v>0.187</v>
      </c>
      <c r="AF24" s="16">
        <v>0.18099999999999999</v>
      </c>
      <c r="AG24" s="16">
        <v>0.18099999999999999</v>
      </c>
      <c r="AH24" s="16">
        <v>0.34899999999999998</v>
      </c>
    </row>
    <row r="25" spans="1:34">
      <c r="A25" s="29">
        <v>14</v>
      </c>
      <c r="B25" s="82">
        <v>254403.568317</v>
      </c>
      <c r="C25" s="82">
        <v>4505486.8415299999</v>
      </c>
      <c r="D25" s="19" t="s">
        <v>38</v>
      </c>
      <c r="E25" s="20">
        <v>0.17100000000000001</v>
      </c>
      <c r="F25" s="20">
        <v>0.1825</v>
      </c>
      <c r="G25" s="20">
        <v>0.1855</v>
      </c>
      <c r="H25" s="20">
        <v>0.17050000000000001</v>
      </c>
      <c r="I25" s="20" t="s">
        <v>38</v>
      </c>
      <c r="J25" s="20">
        <v>0.159</v>
      </c>
      <c r="K25" s="20">
        <v>0.13250000000000001</v>
      </c>
      <c r="L25" s="20">
        <v>0.104</v>
      </c>
      <c r="M25" s="20">
        <v>0.17049999999999998</v>
      </c>
      <c r="N25" s="20">
        <v>9.6000000000000002E-2</v>
      </c>
      <c r="O25" s="24">
        <v>0.33400000000000002</v>
      </c>
      <c r="P25" s="16">
        <v>0.18099999999999999</v>
      </c>
      <c r="Q25" s="16">
        <v>0.187</v>
      </c>
      <c r="R25" s="16">
        <v>0.19</v>
      </c>
      <c r="S25" s="16">
        <v>0.155</v>
      </c>
      <c r="T25" s="16">
        <v>0.13800000000000001</v>
      </c>
      <c r="U25" s="17">
        <v>0.156</v>
      </c>
      <c r="V25" s="16">
        <v>0.16700000000000001</v>
      </c>
      <c r="W25" s="16">
        <v>0.186</v>
      </c>
      <c r="X25" s="16">
        <v>0.19600000000000001</v>
      </c>
      <c r="Y25" s="16">
        <v>0.214</v>
      </c>
      <c r="Z25" s="16">
        <v>0.183</v>
      </c>
      <c r="AA25" s="16">
        <v>0.15</v>
      </c>
      <c r="AB25" s="16">
        <v>0.17199999999999999</v>
      </c>
      <c r="AC25" s="16">
        <v>0.13</v>
      </c>
      <c r="AD25" s="16">
        <v>0.13100000000000001</v>
      </c>
      <c r="AE25" s="16">
        <v>0.13900000000000001</v>
      </c>
      <c r="AF25" s="16">
        <v>0.13100000000000001</v>
      </c>
      <c r="AG25" s="16">
        <v>0.21099999999999999</v>
      </c>
      <c r="AH25" s="16">
        <v>0.216</v>
      </c>
    </row>
    <row r="26" spans="1:34">
      <c r="A26" s="29">
        <v>15</v>
      </c>
      <c r="B26" s="82">
        <v>254457.11685300001</v>
      </c>
      <c r="C26" s="82">
        <v>4505584.8307699999</v>
      </c>
      <c r="D26" s="16" t="s">
        <v>38</v>
      </c>
      <c r="E26" s="16" t="s">
        <v>38</v>
      </c>
      <c r="F26" s="16" t="s">
        <v>38</v>
      </c>
      <c r="G26" s="16" t="s">
        <v>38</v>
      </c>
      <c r="H26" s="16" t="s">
        <v>38</v>
      </c>
      <c r="I26" s="16" t="s">
        <v>38</v>
      </c>
      <c r="J26" s="16" t="s">
        <v>38</v>
      </c>
      <c r="K26" s="16" t="s">
        <v>38</v>
      </c>
      <c r="L26" s="16" t="s">
        <v>38</v>
      </c>
      <c r="M26" s="16" t="s">
        <v>38</v>
      </c>
      <c r="N26" s="16" t="s">
        <v>38</v>
      </c>
      <c r="O26" s="16">
        <v>0.45400000000000001</v>
      </c>
      <c r="P26" s="16">
        <v>0.48499999999999999</v>
      </c>
      <c r="Q26" s="16">
        <v>0.47699999999999998</v>
      </c>
      <c r="R26" s="16">
        <v>0.52200000000000002</v>
      </c>
      <c r="S26" s="16">
        <v>0.51400000000000001</v>
      </c>
      <c r="T26" s="16">
        <v>0.45600000000000002</v>
      </c>
      <c r="U26" s="16">
        <v>0.45</v>
      </c>
      <c r="V26" s="16">
        <v>0.50900000000000001</v>
      </c>
      <c r="W26" s="16">
        <v>0.51400000000000001</v>
      </c>
      <c r="X26" s="16">
        <v>0.69399999999999995</v>
      </c>
      <c r="Y26" s="16">
        <v>0.39300000000000002</v>
      </c>
      <c r="Z26" s="16">
        <v>0.375</v>
      </c>
      <c r="AA26" s="16">
        <v>0.40400000000000003</v>
      </c>
      <c r="AB26" s="16">
        <v>0.34100000000000003</v>
      </c>
      <c r="AC26" s="16">
        <v>0.30399999999999999</v>
      </c>
      <c r="AD26" s="16">
        <v>0.32900000000000001</v>
      </c>
      <c r="AE26" s="16">
        <v>0.33700000000000002</v>
      </c>
      <c r="AF26" s="16">
        <v>0.33200000000000002</v>
      </c>
      <c r="AG26" s="16">
        <v>0.33200000000000002</v>
      </c>
      <c r="AH26" s="16">
        <v>0.46800000000000003</v>
      </c>
    </row>
    <row r="27" spans="1:34">
      <c r="A27" s="29" t="s">
        <v>10</v>
      </c>
      <c r="B27" s="82">
        <v>254458.34024699999</v>
      </c>
      <c r="C27" s="82">
        <v>4505584.0551300002</v>
      </c>
      <c r="D27" s="16" t="s">
        <v>38</v>
      </c>
      <c r="E27" s="16" t="s">
        <v>38</v>
      </c>
      <c r="F27" s="16" t="s">
        <v>38</v>
      </c>
      <c r="G27" s="16" t="s">
        <v>38</v>
      </c>
      <c r="H27" s="16" t="s">
        <v>38</v>
      </c>
      <c r="I27" s="16" t="s">
        <v>38</v>
      </c>
      <c r="J27" s="16" t="s">
        <v>38</v>
      </c>
      <c r="K27" s="16" t="s">
        <v>38</v>
      </c>
      <c r="L27" s="16" t="s">
        <v>38</v>
      </c>
      <c r="M27" s="16" t="s">
        <v>38</v>
      </c>
      <c r="N27" s="16" t="s">
        <v>38</v>
      </c>
      <c r="O27" s="16">
        <v>0.45600000000000002</v>
      </c>
      <c r="P27" s="16">
        <v>0.47299999999999998</v>
      </c>
      <c r="Q27" s="16">
        <v>0.46300000000000002</v>
      </c>
      <c r="R27" s="16">
        <v>0.56000000000000005</v>
      </c>
      <c r="S27" s="16">
        <v>0.46200000000000002</v>
      </c>
      <c r="T27" s="16" t="s">
        <v>38</v>
      </c>
      <c r="U27" s="16">
        <v>0.53300000000000003</v>
      </c>
      <c r="V27" s="16">
        <v>0.504</v>
      </c>
      <c r="W27" s="16">
        <v>0.47799999999999998</v>
      </c>
      <c r="X27" s="16">
        <v>0.501</v>
      </c>
      <c r="Y27" s="16">
        <v>0.48299999999999998</v>
      </c>
      <c r="Z27" s="16" t="s">
        <v>38</v>
      </c>
      <c r="AA27" s="16">
        <v>0.33900000000000002</v>
      </c>
      <c r="AB27" s="16">
        <v>0.30499999999999999</v>
      </c>
      <c r="AC27" s="16">
        <v>0.28299999999999997</v>
      </c>
      <c r="AD27" s="16">
        <v>0.309</v>
      </c>
      <c r="AE27" s="16" t="s">
        <v>38</v>
      </c>
      <c r="AF27" s="16">
        <v>0.25600000000000001</v>
      </c>
      <c r="AG27" s="16">
        <v>0.25600000000000001</v>
      </c>
      <c r="AH27" s="16">
        <v>0.49399999999999999</v>
      </c>
    </row>
    <row r="28" spans="1:34">
      <c r="A28" s="29" t="s">
        <v>11</v>
      </c>
      <c r="B28" s="82">
        <v>254456.479143</v>
      </c>
      <c r="C28" s="82">
        <v>4505583.56623</v>
      </c>
      <c r="D28" s="16" t="s">
        <v>38</v>
      </c>
      <c r="E28" s="16" t="s">
        <v>38</v>
      </c>
      <c r="F28" s="16" t="s">
        <v>38</v>
      </c>
      <c r="G28" s="16" t="s">
        <v>38</v>
      </c>
      <c r="H28" s="16" t="s">
        <v>38</v>
      </c>
      <c r="I28" s="16" t="s">
        <v>38</v>
      </c>
      <c r="J28" s="16" t="s">
        <v>38</v>
      </c>
      <c r="K28" s="16" t="s">
        <v>38</v>
      </c>
      <c r="L28" s="16" t="s">
        <v>38</v>
      </c>
      <c r="M28" s="16" t="s">
        <v>38</v>
      </c>
      <c r="N28" s="16" t="s">
        <v>38</v>
      </c>
      <c r="O28" s="16">
        <v>0.44600000000000001</v>
      </c>
      <c r="P28" s="16">
        <v>0.44</v>
      </c>
      <c r="Q28" s="16">
        <v>0.437</v>
      </c>
      <c r="R28" s="16">
        <v>0.501</v>
      </c>
      <c r="S28" s="16">
        <v>0.44400000000000001</v>
      </c>
      <c r="T28" s="16" t="s">
        <v>38</v>
      </c>
      <c r="U28" s="16">
        <v>0.46</v>
      </c>
      <c r="V28" s="16">
        <v>0.47299999999999998</v>
      </c>
      <c r="W28" s="16">
        <v>0.47099999999999997</v>
      </c>
      <c r="X28" s="16">
        <v>0.52300000000000002</v>
      </c>
      <c r="Y28" s="16">
        <v>0.41799999999999998</v>
      </c>
      <c r="Z28" s="16" t="s">
        <v>38</v>
      </c>
      <c r="AA28" s="16">
        <v>0.39800000000000002</v>
      </c>
      <c r="AB28" s="16">
        <v>0.32400000000000001</v>
      </c>
      <c r="AC28" s="16">
        <v>0.32</v>
      </c>
      <c r="AD28" s="16">
        <v>0.34300000000000003</v>
      </c>
      <c r="AE28" s="16" t="s">
        <v>38</v>
      </c>
      <c r="AF28" s="16">
        <v>0.29599999999999999</v>
      </c>
      <c r="AG28" s="16">
        <v>0.29599999999999999</v>
      </c>
      <c r="AH28" s="16">
        <v>0.437</v>
      </c>
    </row>
    <row r="29" spans="1:34">
      <c r="A29" s="29" t="s">
        <v>12</v>
      </c>
      <c r="B29" s="82">
        <v>254455.93775099999</v>
      </c>
      <c r="C29" s="82">
        <v>4505585.4930299995</v>
      </c>
      <c r="D29" s="16" t="s">
        <v>38</v>
      </c>
      <c r="E29" s="16" t="s">
        <v>38</v>
      </c>
      <c r="F29" s="16" t="s">
        <v>38</v>
      </c>
      <c r="G29" s="16" t="s">
        <v>38</v>
      </c>
      <c r="H29" s="16" t="s">
        <v>38</v>
      </c>
      <c r="I29" s="16" t="s">
        <v>38</v>
      </c>
      <c r="J29" s="16" t="s">
        <v>38</v>
      </c>
      <c r="K29" s="16" t="s">
        <v>38</v>
      </c>
      <c r="L29" s="16" t="s">
        <v>38</v>
      </c>
      <c r="M29" s="16" t="s">
        <v>38</v>
      </c>
      <c r="N29" s="16" t="s">
        <v>38</v>
      </c>
      <c r="O29" s="16">
        <v>0.4</v>
      </c>
      <c r="P29" s="16">
        <v>0.39200000000000002</v>
      </c>
      <c r="Q29" s="16">
        <v>0.38800000000000001</v>
      </c>
      <c r="R29" s="16">
        <v>0.43099999999999999</v>
      </c>
      <c r="S29" s="16">
        <v>0.41099999999999998</v>
      </c>
      <c r="T29" s="16" t="s">
        <v>38</v>
      </c>
      <c r="U29" s="16">
        <v>0.39300000000000002</v>
      </c>
      <c r="V29" s="16">
        <v>0.40699999999999997</v>
      </c>
      <c r="W29" s="16">
        <v>0.40500000000000003</v>
      </c>
      <c r="X29" s="16">
        <v>0.436</v>
      </c>
      <c r="Y29" s="16">
        <v>0.39400000000000002</v>
      </c>
      <c r="Z29" s="16" t="s">
        <v>38</v>
      </c>
      <c r="AA29" s="16">
        <v>0.30599999999999999</v>
      </c>
      <c r="AB29" s="16">
        <v>0.311</v>
      </c>
      <c r="AC29" s="16">
        <v>0.28699999999999998</v>
      </c>
      <c r="AD29" s="16">
        <v>0.29799999999999999</v>
      </c>
      <c r="AE29" s="16" t="s">
        <v>38</v>
      </c>
      <c r="AF29" s="16">
        <v>0.30299999999999999</v>
      </c>
      <c r="AG29" s="16">
        <v>0.30299999999999999</v>
      </c>
      <c r="AH29" s="16">
        <v>0.44400000000000001</v>
      </c>
    </row>
    <row r="30" spans="1:34">
      <c r="A30" s="29" t="s">
        <v>13</v>
      </c>
      <c r="B30" s="82">
        <v>254457.878004</v>
      </c>
      <c r="C30" s="82">
        <v>4505586.0580200003</v>
      </c>
      <c r="D30" s="16" t="s">
        <v>38</v>
      </c>
      <c r="E30" s="16" t="s">
        <v>38</v>
      </c>
      <c r="F30" s="16" t="s">
        <v>38</v>
      </c>
      <c r="G30" s="16" t="s">
        <v>38</v>
      </c>
      <c r="H30" s="16" t="s">
        <v>38</v>
      </c>
      <c r="I30" s="16" t="s">
        <v>38</v>
      </c>
      <c r="J30" s="16" t="s">
        <v>38</v>
      </c>
      <c r="K30" s="16" t="s">
        <v>38</v>
      </c>
      <c r="L30" s="16" t="s">
        <v>38</v>
      </c>
      <c r="M30" s="16" t="s">
        <v>38</v>
      </c>
      <c r="N30" s="16" t="s">
        <v>38</v>
      </c>
      <c r="O30" s="16">
        <v>0.40500000000000003</v>
      </c>
      <c r="P30" s="16">
        <v>0.40100000000000002</v>
      </c>
      <c r="Q30" s="16">
        <v>0.40200000000000002</v>
      </c>
      <c r="R30" s="16">
        <v>0.442</v>
      </c>
      <c r="S30" s="16">
        <v>0.38600000000000001</v>
      </c>
      <c r="T30" s="16" t="s">
        <v>38</v>
      </c>
      <c r="U30" s="16">
        <v>0.41299999999999998</v>
      </c>
      <c r="V30" s="16">
        <v>0.41899999999999998</v>
      </c>
      <c r="W30" s="16">
        <v>0.375</v>
      </c>
      <c r="X30" s="16">
        <v>0.41599999999999998</v>
      </c>
      <c r="Y30" s="16">
        <v>0.38600000000000001</v>
      </c>
      <c r="Z30" s="16" t="s">
        <v>38</v>
      </c>
      <c r="AA30" s="16">
        <v>0.38500000000000001</v>
      </c>
      <c r="AB30" s="16">
        <v>0.32600000000000001</v>
      </c>
      <c r="AC30" s="16">
        <v>0.29799999999999999</v>
      </c>
      <c r="AD30" s="16">
        <v>0.33800000000000002</v>
      </c>
      <c r="AE30" s="16" t="s">
        <v>38</v>
      </c>
      <c r="AF30" s="16">
        <v>0.35099999999999998</v>
      </c>
      <c r="AG30" s="16">
        <v>0.35099999999999998</v>
      </c>
      <c r="AH30" s="16">
        <v>0.38800000000000001</v>
      </c>
    </row>
    <row r="31" spans="1:34">
      <c r="A31" s="29">
        <v>22</v>
      </c>
      <c r="B31" s="82">
        <v>254501.52615300001</v>
      </c>
      <c r="C31" s="82">
        <v>4505594.6980400002</v>
      </c>
      <c r="D31" s="16" t="s">
        <v>38</v>
      </c>
      <c r="E31" s="16" t="s">
        <v>38</v>
      </c>
      <c r="F31" s="16" t="s">
        <v>38</v>
      </c>
      <c r="G31" s="16" t="s">
        <v>38</v>
      </c>
      <c r="H31" s="16" t="s">
        <v>38</v>
      </c>
      <c r="I31" s="16" t="s">
        <v>38</v>
      </c>
      <c r="J31" s="16" t="s">
        <v>38</v>
      </c>
      <c r="K31" s="16" t="s">
        <v>38</v>
      </c>
      <c r="L31" s="16" t="s">
        <v>38</v>
      </c>
      <c r="M31" s="16" t="s">
        <v>38</v>
      </c>
      <c r="N31" s="16" t="s">
        <v>38</v>
      </c>
      <c r="O31" s="16">
        <v>0.42599999999999999</v>
      </c>
      <c r="P31" s="16">
        <v>0.41699999999999998</v>
      </c>
      <c r="Q31" s="16">
        <v>0.38400000000000001</v>
      </c>
      <c r="R31" s="16">
        <v>0.45600000000000002</v>
      </c>
      <c r="S31" s="16">
        <v>0.38600000000000001</v>
      </c>
      <c r="T31" s="16">
        <v>0.38800000000000001</v>
      </c>
      <c r="U31" s="16">
        <v>0.39200000000000002</v>
      </c>
      <c r="V31" s="16">
        <v>0.38600000000000001</v>
      </c>
      <c r="W31" s="16">
        <v>0.38800000000000001</v>
      </c>
      <c r="X31" s="16">
        <v>0.40899999999999997</v>
      </c>
      <c r="Y31" s="16">
        <v>0.44900000000000001</v>
      </c>
      <c r="Z31" s="16">
        <v>0.37</v>
      </c>
      <c r="AA31" s="16">
        <v>0.34200000000000003</v>
      </c>
      <c r="AB31" s="16">
        <v>0.33800000000000002</v>
      </c>
      <c r="AC31" s="16">
        <v>0.318</v>
      </c>
      <c r="AD31" s="16">
        <v>0.31</v>
      </c>
      <c r="AE31" s="16">
        <v>0.32600000000000001</v>
      </c>
      <c r="AF31" s="16">
        <v>0.36299999999999999</v>
      </c>
      <c r="AG31" s="16">
        <v>0.36299999999999999</v>
      </c>
      <c r="AH31" s="16">
        <v>0.42499999999999999</v>
      </c>
    </row>
    <row r="32" spans="1:34">
      <c r="A32" s="29">
        <v>23</v>
      </c>
      <c r="B32" s="83">
        <v>254520.12336</v>
      </c>
      <c r="C32" s="83">
        <v>4505551.7588200001</v>
      </c>
      <c r="D32" s="16" t="s">
        <v>38</v>
      </c>
      <c r="E32" s="16" t="s">
        <v>38</v>
      </c>
      <c r="F32" s="16" t="s">
        <v>38</v>
      </c>
      <c r="G32" s="16" t="s">
        <v>38</v>
      </c>
      <c r="H32" s="16" t="s">
        <v>38</v>
      </c>
      <c r="I32" s="16" t="s">
        <v>38</v>
      </c>
      <c r="J32" s="16" t="s">
        <v>38</v>
      </c>
      <c r="K32" s="16" t="s">
        <v>38</v>
      </c>
      <c r="L32" s="16" t="s">
        <v>38</v>
      </c>
      <c r="M32" s="16" t="s">
        <v>38</v>
      </c>
      <c r="N32" s="16" t="s">
        <v>38</v>
      </c>
      <c r="O32" s="16" t="s">
        <v>38</v>
      </c>
      <c r="P32" s="16" t="s">
        <v>38</v>
      </c>
      <c r="Q32" s="16" t="s">
        <v>38</v>
      </c>
      <c r="R32" s="16" t="s">
        <v>38</v>
      </c>
      <c r="S32" s="16" t="s">
        <v>38</v>
      </c>
      <c r="T32" s="16" t="s">
        <v>38</v>
      </c>
      <c r="U32" s="16" t="s">
        <v>38</v>
      </c>
      <c r="V32" s="16" t="s">
        <v>38</v>
      </c>
      <c r="W32" s="16" t="s">
        <v>38</v>
      </c>
      <c r="X32" s="16" t="s">
        <v>38</v>
      </c>
      <c r="Y32" s="16" t="s">
        <v>38</v>
      </c>
      <c r="Z32" s="16" t="s">
        <v>38</v>
      </c>
      <c r="AA32" s="16" t="s">
        <v>38</v>
      </c>
      <c r="AB32" s="16" t="s">
        <v>38</v>
      </c>
      <c r="AC32" s="16" t="s">
        <v>38</v>
      </c>
      <c r="AD32" s="16" t="s">
        <v>38</v>
      </c>
      <c r="AE32" s="16" t="s">
        <v>38</v>
      </c>
      <c r="AF32" s="16" t="s">
        <v>38</v>
      </c>
      <c r="AG32" s="16" t="s">
        <v>38</v>
      </c>
      <c r="AH32" s="16" t="s">
        <v>38</v>
      </c>
    </row>
    <row r="33" spans="1:34">
      <c r="A33" s="29">
        <v>24</v>
      </c>
      <c r="B33" s="83">
        <v>254528.53983200001</v>
      </c>
      <c r="C33" s="83">
        <v>4505511.7527299998</v>
      </c>
      <c r="D33" s="16" t="s">
        <v>38</v>
      </c>
      <c r="E33" s="16" t="s">
        <v>38</v>
      </c>
      <c r="F33" s="16" t="s">
        <v>38</v>
      </c>
      <c r="G33" s="16" t="s">
        <v>38</v>
      </c>
      <c r="H33" s="16" t="s">
        <v>38</v>
      </c>
      <c r="I33" s="16" t="s">
        <v>38</v>
      </c>
      <c r="J33" s="16" t="s">
        <v>38</v>
      </c>
      <c r="K33" s="16" t="s">
        <v>38</v>
      </c>
      <c r="L33" s="16" t="s">
        <v>38</v>
      </c>
      <c r="M33" s="16" t="s">
        <v>38</v>
      </c>
      <c r="N33" s="16" t="s">
        <v>38</v>
      </c>
      <c r="O33" s="16" t="s">
        <v>38</v>
      </c>
      <c r="P33" s="16" t="s">
        <v>38</v>
      </c>
      <c r="Q33" s="16" t="s">
        <v>38</v>
      </c>
      <c r="R33" s="16" t="s">
        <v>38</v>
      </c>
      <c r="S33" s="16" t="s">
        <v>38</v>
      </c>
      <c r="T33" s="16" t="s">
        <v>38</v>
      </c>
      <c r="U33" s="16" t="s">
        <v>38</v>
      </c>
      <c r="V33" s="16" t="s">
        <v>38</v>
      </c>
      <c r="W33" s="16" t="s">
        <v>38</v>
      </c>
      <c r="X33" s="16" t="s">
        <v>38</v>
      </c>
      <c r="Y33" s="16" t="s">
        <v>38</v>
      </c>
      <c r="Z33" s="16" t="s">
        <v>38</v>
      </c>
      <c r="AA33" s="16" t="s">
        <v>38</v>
      </c>
      <c r="AB33" s="16" t="s">
        <v>38</v>
      </c>
      <c r="AC33" s="16" t="s">
        <v>38</v>
      </c>
      <c r="AD33" s="16" t="s">
        <v>38</v>
      </c>
      <c r="AE33" s="16" t="s">
        <v>38</v>
      </c>
      <c r="AF33" s="16" t="s">
        <v>38</v>
      </c>
      <c r="AG33" s="16" t="s">
        <v>38</v>
      </c>
      <c r="AH33" s="16" t="s">
        <v>38</v>
      </c>
    </row>
    <row r="34" spans="1:34">
      <c r="A34" s="29">
        <v>25</v>
      </c>
      <c r="B34" s="83">
        <v>254506.98052099999</v>
      </c>
      <c r="C34" s="83">
        <v>4505562.6568999998</v>
      </c>
      <c r="D34" s="16" t="s">
        <v>38</v>
      </c>
      <c r="E34" s="16" t="s">
        <v>38</v>
      </c>
      <c r="F34" s="16" t="s">
        <v>38</v>
      </c>
      <c r="G34" s="16" t="s">
        <v>38</v>
      </c>
      <c r="H34" s="16" t="s">
        <v>38</v>
      </c>
      <c r="I34" s="16" t="s">
        <v>38</v>
      </c>
      <c r="J34" s="16" t="s">
        <v>38</v>
      </c>
      <c r="K34" s="16" t="s">
        <v>38</v>
      </c>
      <c r="L34" s="16" t="s">
        <v>38</v>
      </c>
      <c r="M34" s="16" t="s">
        <v>38</v>
      </c>
      <c r="N34" s="16" t="s">
        <v>38</v>
      </c>
      <c r="O34" s="16" t="s">
        <v>38</v>
      </c>
      <c r="P34" s="16" t="s">
        <v>38</v>
      </c>
      <c r="Q34" s="16" t="s">
        <v>38</v>
      </c>
      <c r="R34" s="16" t="s">
        <v>38</v>
      </c>
      <c r="S34" s="16" t="s">
        <v>38</v>
      </c>
      <c r="T34" s="16" t="s">
        <v>38</v>
      </c>
      <c r="U34" s="16" t="s">
        <v>38</v>
      </c>
      <c r="V34" s="16" t="s">
        <v>38</v>
      </c>
      <c r="W34" s="16" t="s">
        <v>38</v>
      </c>
      <c r="X34" s="16" t="s">
        <v>38</v>
      </c>
      <c r="Y34" s="16" t="s">
        <v>38</v>
      </c>
      <c r="Z34" s="16" t="s">
        <v>38</v>
      </c>
      <c r="AA34" s="16" t="s">
        <v>38</v>
      </c>
      <c r="AB34" s="16" t="s">
        <v>38</v>
      </c>
      <c r="AC34" s="16" t="s">
        <v>38</v>
      </c>
      <c r="AD34" s="16" t="s">
        <v>38</v>
      </c>
      <c r="AE34" s="16" t="s">
        <v>38</v>
      </c>
      <c r="AF34" s="16" t="s">
        <v>38</v>
      </c>
      <c r="AG34" s="16" t="s">
        <v>38</v>
      </c>
      <c r="AH34" s="16" t="s">
        <v>38</v>
      </c>
    </row>
    <row r="35" spans="1:34">
      <c r="A35" s="29">
        <v>26</v>
      </c>
      <c r="B35" s="83">
        <v>254533.69367800001</v>
      </c>
      <c r="C35" s="83">
        <v>4505540.5411999999</v>
      </c>
      <c r="D35" s="16" t="s">
        <v>38</v>
      </c>
      <c r="E35" s="16" t="s">
        <v>38</v>
      </c>
      <c r="F35" s="16" t="s">
        <v>38</v>
      </c>
      <c r="G35" s="16" t="s">
        <v>38</v>
      </c>
      <c r="H35" s="16" t="s">
        <v>38</v>
      </c>
      <c r="I35" s="16" t="s">
        <v>38</v>
      </c>
      <c r="J35" s="16" t="s">
        <v>38</v>
      </c>
      <c r="K35" s="16" t="s">
        <v>38</v>
      </c>
      <c r="L35" s="16" t="s">
        <v>38</v>
      </c>
      <c r="M35" s="16" t="s">
        <v>38</v>
      </c>
      <c r="N35" s="16" t="s">
        <v>38</v>
      </c>
      <c r="O35" s="16" t="s">
        <v>38</v>
      </c>
      <c r="P35" s="16" t="s">
        <v>38</v>
      </c>
      <c r="Q35" s="16" t="s">
        <v>38</v>
      </c>
      <c r="R35" s="16" t="s">
        <v>38</v>
      </c>
      <c r="S35" s="16" t="s">
        <v>38</v>
      </c>
      <c r="T35" s="16" t="s">
        <v>38</v>
      </c>
      <c r="U35" s="16" t="s">
        <v>38</v>
      </c>
      <c r="V35" s="16" t="s">
        <v>38</v>
      </c>
      <c r="W35" s="16" t="s">
        <v>38</v>
      </c>
      <c r="X35" s="16" t="s">
        <v>38</v>
      </c>
      <c r="Y35" s="16" t="s">
        <v>38</v>
      </c>
      <c r="Z35" s="16" t="s">
        <v>38</v>
      </c>
      <c r="AA35" s="16" t="s">
        <v>38</v>
      </c>
      <c r="AB35" s="16" t="s">
        <v>38</v>
      </c>
      <c r="AC35" s="16" t="s">
        <v>38</v>
      </c>
      <c r="AD35" s="16" t="s">
        <v>38</v>
      </c>
      <c r="AE35" s="16" t="s">
        <v>38</v>
      </c>
      <c r="AF35" s="16" t="s">
        <v>38</v>
      </c>
      <c r="AG35" s="16" t="s">
        <v>38</v>
      </c>
      <c r="AH35" s="16" t="s">
        <v>38</v>
      </c>
    </row>
    <row r="36" spans="1:34">
      <c r="A36" s="29">
        <v>27</v>
      </c>
      <c r="B36" s="82">
        <v>254513.240017</v>
      </c>
      <c r="C36" s="82">
        <v>4505597.2084600003</v>
      </c>
      <c r="D36" s="16" t="s">
        <v>38</v>
      </c>
      <c r="E36" s="16" t="s">
        <v>38</v>
      </c>
      <c r="F36" s="16" t="s">
        <v>38</v>
      </c>
      <c r="G36" s="16" t="s">
        <v>38</v>
      </c>
      <c r="H36" s="16" t="s">
        <v>38</v>
      </c>
      <c r="I36" s="16" t="s">
        <v>38</v>
      </c>
      <c r="J36" s="16" t="s">
        <v>38</v>
      </c>
      <c r="K36" s="16" t="s">
        <v>38</v>
      </c>
      <c r="L36" s="16" t="s">
        <v>38</v>
      </c>
      <c r="M36" s="16" t="s">
        <v>38</v>
      </c>
      <c r="N36" s="16" t="s">
        <v>38</v>
      </c>
      <c r="O36" s="16">
        <v>0.50700000000000001</v>
      </c>
      <c r="P36" s="16">
        <v>0.52600000000000002</v>
      </c>
      <c r="Q36" s="16">
        <v>0.59599999999999997</v>
      </c>
      <c r="R36" s="16">
        <v>0.628</v>
      </c>
      <c r="S36" s="16">
        <v>0.63200000000000001</v>
      </c>
      <c r="T36" s="16">
        <v>0.67700000000000005</v>
      </c>
      <c r="U36" s="16">
        <v>0.65</v>
      </c>
      <c r="V36" s="16">
        <v>0.63700000000000001</v>
      </c>
      <c r="W36" s="16">
        <v>0.70499999999999996</v>
      </c>
      <c r="X36" s="16">
        <v>0.60099999999999998</v>
      </c>
      <c r="Y36" s="16">
        <v>0.6</v>
      </c>
      <c r="Z36" s="16">
        <v>0.51200000000000001</v>
      </c>
      <c r="AA36" s="16">
        <v>0.44500000000000001</v>
      </c>
      <c r="AB36" s="16">
        <v>0.44900000000000001</v>
      </c>
      <c r="AC36" s="16">
        <v>0.38600000000000001</v>
      </c>
      <c r="AD36" s="16">
        <v>0.35699999999999998</v>
      </c>
      <c r="AE36" s="16">
        <v>0.48099999999999998</v>
      </c>
      <c r="AF36" s="16">
        <v>0.41</v>
      </c>
      <c r="AG36" s="16">
        <v>0.41</v>
      </c>
      <c r="AH36" s="16">
        <v>0.59099999999999997</v>
      </c>
    </row>
    <row r="37" spans="1:34">
      <c r="A37" s="29">
        <v>28</v>
      </c>
      <c r="B37" s="82">
        <v>254529.46167600001</v>
      </c>
      <c r="C37" s="82">
        <v>4505586.2259</v>
      </c>
      <c r="D37" s="16" t="s">
        <v>38</v>
      </c>
      <c r="E37" s="16" t="s">
        <v>38</v>
      </c>
      <c r="F37" s="16" t="s">
        <v>38</v>
      </c>
      <c r="G37" s="16" t="s">
        <v>38</v>
      </c>
      <c r="H37" s="16" t="s">
        <v>38</v>
      </c>
      <c r="I37" s="16" t="s">
        <v>38</v>
      </c>
      <c r="J37" s="16" t="s">
        <v>38</v>
      </c>
      <c r="K37" s="16" t="s">
        <v>38</v>
      </c>
      <c r="L37" s="16" t="s">
        <v>38</v>
      </c>
      <c r="M37" s="16" t="s">
        <v>38</v>
      </c>
      <c r="N37" s="16" t="s">
        <v>38</v>
      </c>
      <c r="O37" s="16">
        <v>0.33900000000000002</v>
      </c>
      <c r="P37" s="16">
        <v>0.33900000000000002</v>
      </c>
      <c r="Q37" s="16">
        <v>0.33400000000000002</v>
      </c>
      <c r="R37" s="16">
        <v>0.375</v>
      </c>
      <c r="S37" s="16">
        <v>0.33</v>
      </c>
      <c r="T37" s="16">
        <v>0.35699999999999998</v>
      </c>
      <c r="U37" s="16">
        <v>0.32800000000000001</v>
      </c>
      <c r="V37" s="16">
        <v>0.33700000000000002</v>
      </c>
      <c r="W37" s="16">
        <v>0.34699999999999998</v>
      </c>
      <c r="X37" s="16">
        <v>0.34599999999999997</v>
      </c>
      <c r="Y37" s="16">
        <v>0.4</v>
      </c>
      <c r="Z37" s="16">
        <v>0.375</v>
      </c>
      <c r="AA37" s="16">
        <v>0.28999999999999998</v>
      </c>
      <c r="AB37" s="16">
        <v>0.27</v>
      </c>
      <c r="AC37" s="16">
        <v>0.254</v>
      </c>
      <c r="AD37" s="16">
        <v>0.27600000000000002</v>
      </c>
      <c r="AE37" s="16">
        <v>0.27700000000000002</v>
      </c>
      <c r="AF37" s="16">
        <v>0.25700000000000001</v>
      </c>
      <c r="AG37" s="16">
        <v>0.25700000000000001</v>
      </c>
      <c r="AH37" s="16">
        <v>0.376</v>
      </c>
    </row>
    <row r="38" spans="1:34">
      <c r="A38" s="29">
        <v>29</v>
      </c>
      <c r="B38" s="82">
        <v>254562.056644</v>
      </c>
      <c r="C38" s="82">
        <v>4505556.1068799999</v>
      </c>
      <c r="D38" s="16" t="s">
        <v>38</v>
      </c>
      <c r="E38" s="16" t="s">
        <v>38</v>
      </c>
      <c r="F38" s="16" t="s">
        <v>38</v>
      </c>
      <c r="G38" s="16" t="s">
        <v>38</v>
      </c>
      <c r="H38" s="16" t="s">
        <v>38</v>
      </c>
      <c r="I38" s="16" t="s">
        <v>38</v>
      </c>
      <c r="J38" s="16" t="s">
        <v>38</v>
      </c>
      <c r="K38" s="16" t="s">
        <v>38</v>
      </c>
      <c r="L38" s="16" t="s">
        <v>38</v>
      </c>
      <c r="M38" s="16" t="s">
        <v>38</v>
      </c>
      <c r="N38" s="16" t="s">
        <v>38</v>
      </c>
      <c r="O38" s="16">
        <v>0.316</v>
      </c>
      <c r="P38" s="16">
        <v>0.315</v>
      </c>
      <c r="Q38" s="16">
        <v>0.33500000000000002</v>
      </c>
      <c r="R38" s="16">
        <v>0.35099999999999998</v>
      </c>
      <c r="S38" s="16">
        <v>0.31900000000000001</v>
      </c>
      <c r="T38" s="16">
        <v>0.28100000000000003</v>
      </c>
      <c r="U38" s="16">
        <v>0.309</v>
      </c>
      <c r="V38" s="16">
        <v>0.28999999999999998</v>
      </c>
      <c r="W38" s="16">
        <v>0.34200000000000003</v>
      </c>
      <c r="X38" s="16">
        <v>0.33400000000000002</v>
      </c>
      <c r="Y38" s="16">
        <v>0.315</v>
      </c>
      <c r="Z38" s="16">
        <v>0.29599999999999999</v>
      </c>
      <c r="AA38" s="16">
        <v>0.217</v>
      </c>
      <c r="AB38" s="16">
        <v>0.26</v>
      </c>
      <c r="AC38" s="16">
        <v>0.217</v>
      </c>
      <c r="AD38" s="16">
        <v>0.26700000000000002</v>
      </c>
      <c r="AE38" s="16">
        <v>0.23100000000000001</v>
      </c>
      <c r="AF38" s="16" t="s">
        <v>38</v>
      </c>
      <c r="AG38" s="16" t="s">
        <v>38</v>
      </c>
      <c r="AH38" s="16">
        <v>0.35</v>
      </c>
    </row>
    <row r="39" spans="1:34">
      <c r="A39" s="29">
        <v>30</v>
      </c>
      <c r="B39" s="82">
        <v>254600.96687999999</v>
      </c>
      <c r="C39" s="82">
        <v>4505520.1160399998</v>
      </c>
      <c r="D39" s="16" t="s">
        <v>38</v>
      </c>
      <c r="E39" s="16" t="s">
        <v>38</v>
      </c>
      <c r="F39" s="16" t="s">
        <v>38</v>
      </c>
      <c r="G39" s="16" t="s">
        <v>38</v>
      </c>
      <c r="H39" s="16" t="s">
        <v>38</v>
      </c>
      <c r="I39" s="16" t="s">
        <v>38</v>
      </c>
      <c r="J39" s="16" t="s">
        <v>38</v>
      </c>
      <c r="K39" s="16" t="s">
        <v>38</v>
      </c>
      <c r="L39" s="16" t="s">
        <v>38</v>
      </c>
      <c r="M39" s="16" t="s">
        <v>38</v>
      </c>
      <c r="N39" s="16" t="s">
        <v>38</v>
      </c>
      <c r="O39" s="16" t="s">
        <v>38</v>
      </c>
      <c r="P39" s="16" t="s">
        <v>38</v>
      </c>
      <c r="Q39" s="16" t="s">
        <v>38</v>
      </c>
      <c r="R39" s="16" t="s">
        <v>38</v>
      </c>
      <c r="S39" s="16" t="s">
        <v>38</v>
      </c>
      <c r="T39" s="16" t="s">
        <v>38</v>
      </c>
      <c r="U39" s="16" t="s">
        <v>38</v>
      </c>
      <c r="V39" s="16" t="s">
        <v>38</v>
      </c>
      <c r="W39" s="16" t="s">
        <v>38</v>
      </c>
      <c r="X39" s="16" t="s">
        <v>38</v>
      </c>
      <c r="Y39" s="16" t="s">
        <v>38</v>
      </c>
      <c r="Z39" s="16" t="s">
        <v>38</v>
      </c>
      <c r="AA39" s="16" t="s">
        <v>38</v>
      </c>
      <c r="AB39" s="16" t="s">
        <v>38</v>
      </c>
      <c r="AC39" s="16" t="s">
        <v>38</v>
      </c>
      <c r="AD39" s="16" t="s">
        <v>38</v>
      </c>
      <c r="AE39" s="16" t="s">
        <v>38</v>
      </c>
      <c r="AF39" s="16" t="s">
        <v>38</v>
      </c>
      <c r="AG39" s="16" t="s">
        <v>38</v>
      </c>
      <c r="AH39" s="16" t="s">
        <v>38</v>
      </c>
    </row>
    <row r="40" spans="1:34">
      <c r="A40" s="29">
        <v>31</v>
      </c>
      <c r="B40" s="82">
        <v>254602.038967</v>
      </c>
      <c r="C40" s="82">
        <v>4505614.9486699998</v>
      </c>
      <c r="D40" s="16" t="s">
        <v>38</v>
      </c>
      <c r="E40" s="16" t="s">
        <v>38</v>
      </c>
      <c r="F40" s="16" t="s">
        <v>38</v>
      </c>
      <c r="G40" s="16" t="s">
        <v>38</v>
      </c>
      <c r="H40" s="16" t="s">
        <v>38</v>
      </c>
      <c r="I40" s="16" t="s">
        <v>38</v>
      </c>
      <c r="J40" s="16" t="s">
        <v>38</v>
      </c>
      <c r="K40" s="16" t="s">
        <v>38</v>
      </c>
      <c r="L40" s="16" t="s">
        <v>38</v>
      </c>
      <c r="M40" s="16" t="s">
        <v>38</v>
      </c>
      <c r="N40" s="16" t="s">
        <v>38</v>
      </c>
      <c r="O40" s="16">
        <v>8.4000000000000005E-2</v>
      </c>
      <c r="P40" s="16">
        <v>8.6999999999999994E-2</v>
      </c>
      <c r="Q40" s="16">
        <v>7.8E-2</v>
      </c>
      <c r="R40" s="16">
        <v>9.5000000000000001E-2</v>
      </c>
      <c r="S40" s="16">
        <v>7.0999999999999994E-2</v>
      </c>
      <c r="T40" s="16">
        <v>6.7000000000000004E-2</v>
      </c>
      <c r="U40" s="16">
        <v>7.6999999999999999E-2</v>
      </c>
      <c r="V40" s="16">
        <v>6.9000000000000006E-2</v>
      </c>
      <c r="W40" s="16">
        <v>8.4000000000000005E-2</v>
      </c>
      <c r="X40" s="16">
        <v>9.0999999999999998E-2</v>
      </c>
      <c r="Y40" s="16">
        <v>8.5000000000000006E-2</v>
      </c>
      <c r="Z40" s="16">
        <v>0.10299999999999999</v>
      </c>
      <c r="AA40" s="16">
        <v>7.6999999999999999E-2</v>
      </c>
      <c r="AB40" s="16">
        <v>9.4E-2</v>
      </c>
      <c r="AC40" s="16">
        <v>7.1999999999999995E-2</v>
      </c>
      <c r="AD40" s="16">
        <v>6.5000000000000002E-2</v>
      </c>
      <c r="AE40" s="16">
        <v>7.4999999999999997E-2</v>
      </c>
      <c r="AF40" s="16">
        <v>6.4000000000000001E-2</v>
      </c>
      <c r="AG40" s="16">
        <v>6.4000000000000001E-2</v>
      </c>
      <c r="AH40" s="16">
        <v>0.11700000000000001</v>
      </c>
    </row>
    <row r="41" spans="1:34">
      <c r="A41" s="29">
        <v>32</v>
      </c>
      <c r="B41" s="82">
        <v>254615.14761499999</v>
      </c>
      <c r="C41" s="82">
        <v>4505653.1930400003</v>
      </c>
      <c r="D41" s="16" t="s">
        <v>38</v>
      </c>
      <c r="E41" s="16" t="s">
        <v>38</v>
      </c>
      <c r="F41" s="16" t="s">
        <v>38</v>
      </c>
      <c r="G41" s="16" t="s">
        <v>38</v>
      </c>
      <c r="H41" s="16" t="s">
        <v>38</v>
      </c>
      <c r="I41" s="16" t="s">
        <v>38</v>
      </c>
      <c r="J41" s="16" t="s">
        <v>38</v>
      </c>
      <c r="K41" s="16" t="s">
        <v>38</v>
      </c>
      <c r="L41" s="16" t="s">
        <v>38</v>
      </c>
      <c r="M41" s="16" t="s">
        <v>38</v>
      </c>
      <c r="N41" s="16" t="s">
        <v>38</v>
      </c>
      <c r="O41" s="16">
        <v>0.33</v>
      </c>
      <c r="P41" s="16">
        <v>0.32200000000000001</v>
      </c>
      <c r="Q41" s="16">
        <v>0.32100000000000001</v>
      </c>
      <c r="R41" s="16">
        <v>0.35399999999999998</v>
      </c>
      <c r="S41" s="16">
        <v>0.32</v>
      </c>
      <c r="T41" s="16">
        <v>0.38700000000000001</v>
      </c>
      <c r="U41" s="16">
        <v>0.34499999999999997</v>
      </c>
      <c r="V41" s="16">
        <v>0.33100000000000002</v>
      </c>
      <c r="W41" s="16">
        <v>0.30399999999999999</v>
      </c>
      <c r="X41" s="16">
        <v>0.34</v>
      </c>
      <c r="Y41" s="16">
        <v>0.36599999999999999</v>
      </c>
      <c r="Z41" s="16">
        <v>0.317</v>
      </c>
      <c r="AA41" s="16">
        <v>0.27600000000000002</v>
      </c>
      <c r="AB41" s="16">
        <v>0.23300000000000001</v>
      </c>
      <c r="AC41" s="16">
        <v>0.218</v>
      </c>
      <c r="AD41" s="16">
        <v>0.248</v>
      </c>
      <c r="AE41" s="16">
        <v>0.23200000000000001</v>
      </c>
      <c r="AF41" s="16">
        <v>0.219</v>
      </c>
      <c r="AG41" s="16">
        <v>0.219</v>
      </c>
      <c r="AH41" s="16">
        <v>0.254</v>
      </c>
    </row>
    <row r="42" spans="1:34">
      <c r="A42" s="29">
        <v>33</v>
      </c>
      <c r="B42" s="83">
        <v>254630.21045499999</v>
      </c>
      <c r="C42" s="83">
        <v>4505643.6264500003</v>
      </c>
      <c r="D42" s="16" t="s">
        <v>38</v>
      </c>
      <c r="E42" s="16" t="s">
        <v>38</v>
      </c>
      <c r="F42" s="16" t="s">
        <v>38</v>
      </c>
      <c r="G42" s="16" t="s">
        <v>38</v>
      </c>
      <c r="H42" s="16" t="s">
        <v>38</v>
      </c>
      <c r="I42" s="16" t="s">
        <v>38</v>
      </c>
      <c r="J42" s="16" t="s">
        <v>38</v>
      </c>
      <c r="K42" s="16" t="s">
        <v>38</v>
      </c>
      <c r="L42" s="16" t="s">
        <v>38</v>
      </c>
      <c r="M42" s="16" t="s">
        <v>38</v>
      </c>
      <c r="N42" s="16" t="s">
        <v>38</v>
      </c>
      <c r="O42" s="16" t="s">
        <v>38</v>
      </c>
      <c r="P42" s="16" t="s">
        <v>38</v>
      </c>
      <c r="Q42" s="16" t="s">
        <v>38</v>
      </c>
      <c r="R42" s="16" t="s">
        <v>38</v>
      </c>
      <c r="S42" s="16" t="s">
        <v>38</v>
      </c>
      <c r="T42" s="16" t="s">
        <v>38</v>
      </c>
      <c r="U42" s="16" t="s">
        <v>38</v>
      </c>
      <c r="V42" s="16" t="s">
        <v>38</v>
      </c>
      <c r="W42" s="16" t="s">
        <v>38</v>
      </c>
      <c r="X42" s="16" t="s">
        <v>38</v>
      </c>
      <c r="Y42" s="16" t="s">
        <v>38</v>
      </c>
      <c r="Z42" s="16" t="s">
        <v>38</v>
      </c>
      <c r="AA42" s="16" t="s">
        <v>38</v>
      </c>
      <c r="AB42" s="16" t="s">
        <v>38</v>
      </c>
      <c r="AC42" s="16" t="s">
        <v>38</v>
      </c>
      <c r="AD42" s="16" t="s">
        <v>38</v>
      </c>
      <c r="AE42" s="16" t="s">
        <v>38</v>
      </c>
      <c r="AF42" s="16" t="s">
        <v>38</v>
      </c>
      <c r="AG42" s="16" t="s">
        <v>38</v>
      </c>
      <c r="AH42" s="16" t="s">
        <v>38</v>
      </c>
    </row>
    <row r="43" spans="1:34">
      <c r="A43" s="29">
        <v>34</v>
      </c>
      <c r="B43" s="82">
        <v>254645.629514</v>
      </c>
      <c r="C43" s="82">
        <v>4505638.1997999996</v>
      </c>
      <c r="D43" s="16" t="s">
        <v>38</v>
      </c>
      <c r="E43" s="16" t="s">
        <v>38</v>
      </c>
      <c r="F43" s="16" t="s">
        <v>38</v>
      </c>
      <c r="G43" s="16" t="s">
        <v>38</v>
      </c>
      <c r="H43" s="16" t="s">
        <v>38</v>
      </c>
      <c r="I43" s="16" t="s">
        <v>38</v>
      </c>
      <c r="J43" s="16" t="s">
        <v>38</v>
      </c>
      <c r="K43" s="16" t="s">
        <v>38</v>
      </c>
      <c r="L43" s="16" t="s">
        <v>38</v>
      </c>
      <c r="M43" s="16" t="s">
        <v>38</v>
      </c>
      <c r="N43" s="16" t="s">
        <v>38</v>
      </c>
      <c r="O43" s="16">
        <v>0.14499999999999999</v>
      </c>
      <c r="P43" s="16">
        <v>0.14799999999999999</v>
      </c>
      <c r="Q43" s="16">
        <v>0.13500000000000001</v>
      </c>
      <c r="R43" s="16">
        <v>0.13100000000000001</v>
      </c>
      <c r="S43" s="16">
        <v>0.13300000000000001</v>
      </c>
      <c r="T43" s="16">
        <v>0.11899999999999999</v>
      </c>
      <c r="U43" s="16">
        <v>0.11799999999999999</v>
      </c>
      <c r="V43" s="16">
        <v>0.11799999999999999</v>
      </c>
      <c r="W43" s="16">
        <v>0.11600000000000001</v>
      </c>
      <c r="X43" s="16">
        <v>0.13200000000000001</v>
      </c>
      <c r="Y43" s="16">
        <v>0.128</v>
      </c>
      <c r="Z43" s="16">
        <v>0.108</v>
      </c>
      <c r="AA43" s="16">
        <v>0.128</v>
      </c>
      <c r="AB43" s="16">
        <v>9.4E-2</v>
      </c>
      <c r="AC43" s="16">
        <v>0.106</v>
      </c>
      <c r="AD43" s="16">
        <v>6.6000000000000003E-2</v>
      </c>
      <c r="AE43" s="16">
        <v>7.6999999999999999E-2</v>
      </c>
      <c r="AF43" s="16">
        <v>9.2999999999999999E-2</v>
      </c>
      <c r="AG43" s="16">
        <v>9.2999999999999999E-2</v>
      </c>
      <c r="AH43" s="16" t="s">
        <v>38</v>
      </c>
    </row>
    <row r="44" spans="1:34">
      <c r="A44" s="29">
        <v>35</v>
      </c>
      <c r="B44" s="83">
        <v>254670.124698</v>
      </c>
      <c r="C44" s="83">
        <v>4505665.0644100001</v>
      </c>
      <c r="D44" s="16" t="s">
        <v>38</v>
      </c>
      <c r="E44" s="16" t="s">
        <v>38</v>
      </c>
      <c r="F44" s="16" t="s">
        <v>38</v>
      </c>
      <c r="G44" s="16" t="s">
        <v>38</v>
      </c>
      <c r="H44" s="16" t="s">
        <v>38</v>
      </c>
      <c r="I44" s="16" t="s">
        <v>38</v>
      </c>
      <c r="J44" s="16" t="s">
        <v>38</v>
      </c>
      <c r="K44" s="16" t="s">
        <v>38</v>
      </c>
      <c r="L44" s="16" t="s">
        <v>38</v>
      </c>
      <c r="M44" s="16" t="s">
        <v>38</v>
      </c>
      <c r="N44" s="16" t="s">
        <v>38</v>
      </c>
      <c r="O44" s="16" t="s">
        <v>38</v>
      </c>
      <c r="P44" s="16" t="s">
        <v>38</v>
      </c>
      <c r="Q44" s="16" t="s">
        <v>38</v>
      </c>
      <c r="R44" s="16" t="s">
        <v>38</v>
      </c>
      <c r="S44" s="16" t="s">
        <v>38</v>
      </c>
      <c r="T44" s="16" t="s">
        <v>38</v>
      </c>
      <c r="U44" s="16" t="s">
        <v>38</v>
      </c>
      <c r="V44" s="16" t="s">
        <v>38</v>
      </c>
      <c r="W44" s="16" t="s">
        <v>38</v>
      </c>
      <c r="X44" s="16" t="s">
        <v>38</v>
      </c>
      <c r="Y44" s="16" t="s">
        <v>38</v>
      </c>
      <c r="Z44" s="16" t="s">
        <v>38</v>
      </c>
      <c r="AA44" s="16" t="s">
        <v>38</v>
      </c>
      <c r="AB44" s="16" t="s">
        <v>38</v>
      </c>
      <c r="AC44" s="16" t="s">
        <v>38</v>
      </c>
      <c r="AD44" s="16" t="s">
        <v>38</v>
      </c>
      <c r="AE44" s="16" t="s">
        <v>38</v>
      </c>
      <c r="AF44" s="16" t="s">
        <v>38</v>
      </c>
      <c r="AG44" s="16" t="s">
        <v>38</v>
      </c>
      <c r="AH44" s="16" t="s">
        <v>38</v>
      </c>
    </row>
    <row r="45" spans="1:34">
      <c r="A45" s="29">
        <v>36</v>
      </c>
      <c r="B45" s="82">
        <v>254694.327835</v>
      </c>
      <c r="C45" s="82">
        <v>4505677.1803099997</v>
      </c>
      <c r="D45" s="16" t="s">
        <v>38</v>
      </c>
      <c r="E45" s="16" t="s">
        <v>38</v>
      </c>
      <c r="F45" s="16" t="s">
        <v>38</v>
      </c>
      <c r="G45" s="16" t="s">
        <v>38</v>
      </c>
      <c r="H45" s="16" t="s">
        <v>38</v>
      </c>
      <c r="I45" s="16" t="s">
        <v>38</v>
      </c>
      <c r="J45" s="16" t="s">
        <v>38</v>
      </c>
      <c r="K45" s="16" t="s">
        <v>38</v>
      </c>
      <c r="L45" s="16" t="s">
        <v>38</v>
      </c>
      <c r="M45" s="16" t="s">
        <v>38</v>
      </c>
      <c r="N45" s="16" t="s">
        <v>38</v>
      </c>
      <c r="O45" s="16" t="s">
        <v>38</v>
      </c>
      <c r="P45" s="16" t="s">
        <v>38</v>
      </c>
      <c r="Q45" s="16" t="s">
        <v>38</v>
      </c>
      <c r="R45" s="16" t="s">
        <v>38</v>
      </c>
      <c r="S45" s="16" t="s">
        <v>38</v>
      </c>
      <c r="T45" s="16" t="s">
        <v>38</v>
      </c>
      <c r="U45" s="16" t="s">
        <v>38</v>
      </c>
      <c r="V45" s="16" t="s">
        <v>38</v>
      </c>
      <c r="W45" s="16" t="s">
        <v>38</v>
      </c>
      <c r="X45" s="16" t="s">
        <v>38</v>
      </c>
      <c r="Y45" s="16" t="s">
        <v>38</v>
      </c>
      <c r="Z45" s="16" t="s">
        <v>38</v>
      </c>
      <c r="AA45" s="16" t="s">
        <v>38</v>
      </c>
      <c r="AB45" s="16" t="s">
        <v>38</v>
      </c>
      <c r="AC45" s="16" t="s">
        <v>38</v>
      </c>
      <c r="AD45" s="16" t="s">
        <v>38</v>
      </c>
      <c r="AE45" s="16" t="s">
        <v>38</v>
      </c>
      <c r="AF45" s="16" t="s">
        <v>38</v>
      </c>
      <c r="AG45" s="16" t="s">
        <v>38</v>
      </c>
      <c r="AH45" s="16" t="s">
        <v>38</v>
      </c>
    </row>
    <row r="46" spans="1:34">
      <c r="A46" s="29">
        <v>37</v>
      </c>
      <c r="B46" s="82">
        <v>254278.222178</v>
      </c>
      <c r="C46" s="82">
        <v>4505598.09038</v>
      </c>
      <c r="D46" s="16" t="s">
        <v>38</v>
      </c>
      <c r="E46" s="16" t="s">
        <v>38</v>
      </c>
      <c r="F46" s="16" t="s">
        <v>38</v>
      </c>
      <c r="G46" s="16" t="s">
        <v>38</v>
      </c>
      <c r="H46" s="16" t="s">
        <v>38</v>
      </c>
      <c r="I46" s="16" t="s">
        <v>38</v>
      </c>
      <c r="J46" s="16" t="s">
        <v>38</v>
      </c>
      <c r="K46" s="16" t="s">
        <v>38</v>
      </c>
      <c r="L46" s="16" t="s">
        <v>38</v>
      </c>
      <c r="M46" s="16" t="s">
        <v>38</v>
      </c>
      <c r="N46" s="16" t="s">
        <v>38</v>
      </c>
      <c r="O46" s="16" t="s">
        <v>38</v>
      </c>
      <c r="P46" s="16" t="s">
        <v>38</v>
      </c>
      <c r="Q46" s="16" t="s">
        <v>38</v>
      </c>
      <c r="R46" s="16" t="s">
        <v>38</v>
      </c>
      <c r="S46" s="16" t="s">
        <v>38</v>
      </c>
      <c r="T46" s="16" t="s">
        <v>38</v>
      </c>
      <c r="U46" s="16" t="s">
        <v>38</v>
      </c>
      <c r="V46" s="16" t="s">
        <v>38</v>
      </c>
      <c r="W46" s="16" t="s">
        <v>38</v>
      </c>
      <c r="X46" s="16" t="s">
        <v>38</v>
      </c>
      <c r="Y46" s="16" t="s">
        <v>38</v>
      </c>
      <c r="Z46" s="16" t="s">
        <v>38</v>
      </c>
      <c r="AA46" s="16" t="s">
        <v>38</v>
      </c>
      <c r="AB46" s="16" t="s">
        <v>38</v>
      </c>
      <c r="AC46" s="16" t="s">
        <v>38</v>
      </c>
      <c r="AD46" s="16" t="s">
        <v>38</v>
      </c>
      <c r="AE46" s="16" t="s">
        <v>38</v>
      </c>
      <c r="AF46" s="16" t="s">
        <v>38</v>
      </c>
      <c r="AG46" s="16" t="s">
        <v>38</v>
      </c>
      <c r="AH46" s="16" t="s">
        <v>38</v>
      </c>
    </row>
    <row r="47" spans="1:34">
      <c r="A47" s="29">
        <v>38</v>
      </c>
      <c r="B47" s="82">
        <v>254283.86705500001</v>
      </c>
      <c r="C47" s="82">
        <v>4505606.6247800002</v>
      </c>
      <c r="D47" s="16" t="s">
        <v>38</v>
      </c>
      <c r="E47" s="16" t="s">
        <v>38</v>
      </c>
      <c r="F47" s="16" t="s">
        <v>38</v>
      </c>
      <c r="G47" s="16" t="s">
        <v>38</v>
      </c>
      <c r="H47" s="16" t="s">
        <v>38</v>
      </c>
      <c r="I47" s="16" t="s">
        <v>38</v>
      </c>
      <c r="J47" s="16" t="s">
        <v>38</v>
      </c>
      <c r="K47" s="16" t="s">
        <v>38</v>
      </c>
      <c r="L47" s="16" t="s">
        <v>38</v>
      </c>
      <c r="M47" s="16" t="s">
        <v>38</v>
      </c>
      <c r="N47" s="16" t="s">
        <v>38</v>
      </c>
      <c r="O47" s="16">
        <v>0.52600000000000002</v>
      </c>
      <c r="P47" s="16">
        <v>0.51200000000000001</v>
      </c>
      <c r="Q47" s="16">
        <v>0.57299999999999995</v>
      </c>
      <c r="R47" s="16" t="s">
        <v>38</v>
      </c>
      <c r="S47" s="16">
        <v>0.64700000000000002</v>
      </c>
      <c r="T47" s="16">
        <v>0.60599999999999998</v>
      </c>
      <c r="U47" s="16">
        <v>0.64700000000000002</v>
      </c>
      <c r="V47" s="16">
        <v>0.64300000000000002</v>
      </c>
      <c r="W47" s="16">
        <v>0.60699999999999998</v>
      </c>
      <c r="X47" s="16" t="s">
        <v>38</v>
      </c>
      <c r="Y47" s="16">
        <v>0.52800000000000002</v>
      </c>
      <c r="Z47" s="16">
        <v>0.53400000000000003</v>
      </c>
      <c r="AA47" s="16">
        <v>0.5</v>
      </c>
      <c r="AB47" s="16">
        <v>0.55800000000000005</v>
      </c>
      <c r="AC47" s="16">
        <v>0.39300000000000002</v>
      </c>
      <c r="AD47" s="16">
        <v>0.47099999999999997</v>
      </c>
      <c r="AE47" s="16">
        <v>0.47799999999999998</v>
      </c>
      <c r="AF47" s="16">
        <v>0.38300000000000001</v>
      </c>
      <c r="AG47" s="16">
        <v>0.38300000000000001</v>
      </c>
      <c r="AH47" s="16">
        <v>0.48899999999999999</v>
      </c>
    </row>
    <row r="48" spans="1:34">
      <c r="A48" s="29">
        <v>39</v>
      </c>
      <c r="B48" s="83">
        <v>254326.89087</v>
      </c>
      <c r="C48" s="83">
        <v>4505589.7420199998</v>
      </c>
      <c r="D48" s="16" t="s">
        <v>38</v>
      </c>
      <c r="E48" s="16" t="s">
        <v>38</v>
      </c>
      <c r="F48" s="16" t="s">
        <v>38</v>
      </c>
      <c r="G48" s="16" t="s">
        <v>38</v>
      </c>
      <c r="H48" s="16" t="s">
        <v>38</v>
      </c>
      <c r="I48" s="16" t="s">
        <v>38</v>
      </c>
      <c r="J48" s="16" t="s">
        <v>38</v>
      </c>
      <c r="K48" s="16" t="s">
        <v>38</v>
      </c>
      <c r="L48" s="16" t="s">
        <v>38</v>
      </c>
      <c r="M48" s="16" t="s">
        <v>38</v>
      </c>
      <c r="N48" s="16" t="s">
        <v>38</v>
      </c>
      <c r="O48" s="16" t="s">
        <v>38</v>
      </c>
      <c r="P48" s="16" t="s">
        <v>38</v>
      </c>
      <c r="Q48" s="16" t="s">
        <v>38</v>
      </c>
      <c r="R48" s="16" t="s">
        <v>38</v>
      </c>
      <c r="S48" s="16" t="s">
        <v>38</v>
      </c>
      <c r="T48" s="16" t="s">
        <v>38</v>
      </c>
      <c r="U48" s="16" t="s">
        <v>38</v>
      </c>
      <c r="V48" s="16" t="s">
        <v>38</v>
      </c>
      <c r="W48" s="16" t="s">
        <v>38</v>
      </c>
      <c r="X48" s="16" t="s">
        <v>38</v>
      </c>
      <c r="Y48" s="16" t="s">
        <v>38</v>
      </c>
      <c r="Z48" s="16" t="s">
        <v>38</v>
      </c>
      <c r="AA48" s="16" t="s">
        <v>38</v>
      </c>
      <c r="AB48" s="16" t="s">
        <v>38</v>
      </c>
      <c r="AC48" s="16" t="s">
        <v>38</v>
      </c>
      <c r="AD48" s="16" t="s">
        <v>38</v>
      </c>
      <c r="AE48" s="16" t="s">
        <v>38</v>
      </c>
      <c r="AF48" s="16" t="s">
        <v>38</v>
      </c>
      <c r="AG48" s="16" t="s">
        <v>38</v>
      </c>
      <c r="AH48" s="16" t="s">
        <v>38</v>
      </c>
    </row>
    <row r="49" spans="1:34">
      <c r="A49" s="29">
        <v>40</v>
      </c>
      <c r="B49" s="82">
        <v>254322.92004600001</v>
      </c>
      <c r="C49" s="82">
        <v>4505620.3210300002</v>
      </c>
      <c r="D49" s="16" t="s">
        <v>38</v>
      </c>
      <c r="E49" s="16" t="s">
        <v>38</v>
      </c>
      <c r="F49" s="16" t="s">
        <v>38</v>
      </c>
      <c r="G49" s="16" t="s">
        <v>38</v>
      </c>
      <c r="H49" s="16" t="s">
        <v>38</v>
      </c>
      <c r="I49" s="16" t="s">
        <v>38</v>
      </c>
      <c r="J49" s="16" t="s">
        <v>38</v>
      </c>
      <c r="K49" s="16" t="s">
        <v>38</v>
      </c>
      <c r="L49" s="16" t="s">
        <v>38</v>
      </c>
      <c r="M49" s="16" t="s">
        <v>38</v>
      </c>
      <c r="N49" s="16" t="s">
        <v>38</v>
      </c>
      <c r="O49" s="16">
        <v>0.21299999999999999</v>
      </c>
      <c r="P49" s="16" t="s">
        <v>38</v>
      </c>
      <c r="Q49" s="16">
        <v>0.187</v>
      </c>
      <c r="R49" s="16">
        <v>0.21199999999999999</v>
      </c>
      <c r="S49" s="16">
        <v>0.19400000000000001</v>
      </c>
      <c r="T49" s="16">
        <v>0.191</v>
      </c>
      <c r="U49" s="16">
        <v>0.20699999999999999</v>
      </c>
      <c r="V49" s="16">
        <v>0.20699999999999999</v>
      </c>
      <c r="W49" s="16">
        <v>0.2</v>
      </c>
      <c r="X49" s="16">
        <v>0.23599999999999999</v>
      </c>
      <c r="Y49" s="16">
        <v>0.22600000000000001</v>
      </c>
      <c r="Z49" s="16">
        <v>0.19800000000000001</v>
      </c>
      <c r="AA49" s="16">
        <v>0.189</v>
      </c>
      <c r="AB49" s="16">
        <v>0.22600000000000001</v>
      </c>
      <c r="AC49" s="16">
        <v>0.157</v>
      </c>
      <c r="AD49" s="16">
        <v>0.215</v>
      </c>
      <c r="AE49" s="16">
        <v>0.16</v>
      </c>
      <c r="AF49" s="16">
        <v>0.182</v>
      </c>
      <c r="AG49" s="16">
        <v>0.182</v>
      </c>
      <c r="AH49" s="16">
        <v>0.245</v>
      </c>
    </row>
    <row r="50" spans="1:34">
      <c r="A50" s="29">
        <v>41</v>
      </c>
      <c r="B50" s="82">
        <v>254361.30648100001</v>
      </c>
      <c r="C50" s="82">
        <v>4505599.5975200003</v>
      </c>
      <c r="D50" s="16" t="s">
        <v>38</v>
      </c>
      <c r="E50" s="16" t="s">
        <v>38</v>
      </c>
      <c r="F50" s="16" t="s">
        <v>38</v>
      </c>
      <c r="G50" s="16" t="s">
        <v>38</v>
      </c>
      <c r="H50" s="16" t="s">
        <v>38</v>
      </c>
      <c r="I50" s="16" t="s">
        <v>38</v>
      </c>
      <c r="J50" s="16" t="s">
        <v>38</v>
      </c>
      <c r="K50" s="16" t="s">
        <v>38</v>
      </c>
      <c r="L50" s="16" t="s">
        <v>38</v>
      </c>
      <c r="M50" s="16" t="s">
        <v>38</v>
      </c>
      <c r="N50" s="16" t="s">
        <v>38</v>
      </c>
      <c r="O50" s="16" t="s">
        <v>38</v>
      </c>
      <c r="P50" s="16" t="s">
        <v>38</v>
      </c>
      <c r="Q50" s="16" t="s">
        <v>38</v>
      </c>
      <c r="R50" s="16" t="s">
        <v>38</v>
      </c>
      <c r="S50" s="16" t="s">
        <v>38</v>
      </c>
      <c r="T50" s="16" t="s">
        <v>38</v>
      </c>
      <c r="U50" s="16" t="s">
        <v>38</v>
      </c>
      <c r="V50" s="16" t="s">
        <v>38</v>
      </c>
      <c r="W50" s="16" t="s">
        <v>38</v>
      </c>
      <c r="X50" s="16" t="s">
        <v>38</v>
      </c>
      <c r="Y50" s="16" t="s">
        <v>38</v>
      </c>
      <c r="Z50" s="16" t="s">
        <v>38</v>
      </c>
      <c r="AA50" s="16" t="s">
        <v>38</v>
      </c>
      <c r="AB50" s="16" t="s">
        <v>38</v>
      </c>
      <c r="AC50" s="16" t="s">
        <v>38</v>
      </c>
      <c r="AD50" s="16" t="s">
        <v>38</v>
      </c>
      <c r="AE50" s="16" t="s">
        <v>38</v>
      </c>
      <c r="AF50" s="16" t="s">
        <v>38</v>
      </c>
      <c r="AG50" s="16" t="s">
        <v>38</v>
      </c>
      <c r="AH50" s="16" t="s">
        <v>38</v>
      </c>
    </row>
    <row r="51" spans="1:34">
      <c r="A51" s="29">
        <v>42</v>
      </c>
      <c r="B51" s="83">
        <v>254379.907389</v>
      </c>
      <c r="C51" s="83">
        <v>4505630.6267799996</v>
      </c>
      <c r="D51" s="16" t="s">
        <v>38</v>
      </c>
      <c r="E51" s="16" t="s">
        <v>38</v>
      </c>
      <c r="F51" s="16" t="s">
        <v>38</v>
      </c>
      <c r="G51" s="16" t="s">
        <v>38</v>
      </c>
      <c r="H51" s="16" t="s">
        <v>38</v>
      </c>
      <c r="I51" s="16" t="s">
        <v>38</v>
      </c>
      <c r="J51" s="16" t="s">
        <v>38</v>
      </c>
      <c r="K51" s="16" t="s">
        <v>38</v>
      </c>
      <c r="L51" s="16" t="s">
        <v>38</v>
      </c>
      <c r="M51" s="16" t="s">
        <v>38</v>
      </c>
      <c r="N51" s="16" t="s">
        <v>38</v>
      </c>
      <c r="O51" s="16" t="s">
        <v>38</v>
      </c>
      <c r="P51" s="16" t="s">
        <v>38</v>
      </c>
      <c r="Q51" s="16" t="s">
        <v>38</v>
      </c>
      <c r="R51" s="16" t="s">
        <v>38</v>
      </c>
      <c r="S51" s="16" t="s">
        <v>38</v>
      </c>
      <c r="T51" s="16" t="s">
        <v>38</v>
      </c>
      <c r="U51" s="16" t="s">
        <v>38</v>
      </c>
      <c r="V51" s="16" t="s">
        <v>38</v>
      </c>
      <c r="W51" s="16" t="s">
        <v>38</v>
      </c>
      <c r="X51" s="16" t="s">
        <v>38</v>
      </c>
      <c r="Y51" s="16" t="s">
        <v>38</v>
      </c>
      <c r="Z51" s="16" t="s">
        <v>38</v>
      </c>
      <c r="AA51" s="16" t="s">
        <v>38</v>
      </c>
      <c r="AB51" s="16" t="s">
        <v>38</v>
      </c>
      <c r="AC51" s="16" t="s">
        <v>38</v>
      </c>
      <c r="AD51" s="16" t="s">
        <v>38</v>
      </c>
      <c r="AE51" s="16" t="s">
        <v>38</v>
      </c>
      <c r="AF51" s="16" t="s">
        <v>38</v>
      </c>
      <c r="AG51" s="16" t="s">
        <v>38</v>
      </c>
      <c r="AH51" s="16" t="s">
        <v>38</v>
      </c>
    </row>
    <row r="52" spans="1:34">
      <c r="A52" s="29">
        <v>43</v>
      </c>
      <c r="B52" s="83">
        <v>254361.50803699999</v>
      </c>
      <c r="C52" s="83">
        <v>4505641.8651099997</v>
      </c>
      <c r="D52" s="16" t="s">
        <v>38</v>
      </c>
      <c r="E52" s="16" t="s">
        <v>38</v>
      </c>
      <c r="F52" s="16" t="s">
        <v>38</v>
      </c>
      <c r="G52" s="16" t="s">
        <v>38</v>
      </c>
      <c r="H52" s="16" t="s">
        <v>38</v>
      </c>
      <c r="I52" s="16" t="s">
        <v>38</v>
      </c>
      <c r="J52" s="16" t="s">
        <v>38</v>
      </c>
      <c r="K52" s="16" t="s">
        <v>38</v>
      </c>
      <c r="L52" s="16" t="s">
        <v>38</v>
      </c>
      <c r="M52" s="16" t="s">
        <v>38</v>
      </c>
      <c r="N52" s="16" t="s">
        <v>38</v>
      </c>
      <c r="O52" s="16" t="s">
        <v>38</v>
      </c>
      <c r="P52" s="16" t="s">
        <v>38</v>
      </c>
      <c r="Q52" s="16" t="s">
        <v>38</v>
      </c>
      <c r="R52" s="16" t="s">
        <v>38</v>
      </c>
      <c r="S52" s="16" t="s">
        <v>38</v>
      </c>
      <c r="T52" s="16" t="s">
        <v>38</v>
      </c>
      <c r="U52" s="16" t="s">
        <v>38</v>
      </c>
      <c r="V52" s="16" t="s">
        <v>38</v>
      </c>
      <c r="W52" s="16" t="s">
        <v>38</v>
      </c>
      <c r="X52" s="16" t="s">
        <v>38</v>
      </c>
      <c r="Y52" s="16" t="s">
        <v>38</v>
      </c>
      <c r="Z52" s="16" t="s">
        <v>38</v>
      </c>
      <c r="AA52" s="16" t="s">
        <v>38</v>
      </c>
      <c r="AB52" s="16" t="s">
        <v>38</v>
      </c>
      <c r="AC52" s="16" t="s">
        <v>38</v>
      </c>
      <c r="AD52" s="16" t="s">
        <v>38</v>
      </c>
      <c r="AE52" s="16" t="s">
        <v>38</v>
      </c>
      <c r="AF52" s="16" t="s">
        <v>38</v>
      </c>
      <c r="AG52" s="16" t="s">
        <v>38</v>
      </c>
      <c r="AH52" s="16" t="s">
        <v>38</v>
      </c>
    </row>
    <row r="53" spans="1:34">
      <c r="A53" s="29">
        <v>44</v>
      </c>
      <c r="B53" s="82">
        <v>254358.81478300001</v>
      </c>
      <c r="C53" s="82">
        <v>4505658.5760300001</v>
      </c>
      <c r="D53" s="16" t="s">
        <v>38</v>
      </c>
      <c r="E53" s="16" t="s">
        <v>38</v>
      </c>
      <c r="F53" s="16" t="s">
        <v>38</v>
      </c>
      <c r="G53" s="16" t="s">
        <v>38</v>
      </c>
      <c r="H53" s="16" t="s">
        <v>38</v>
      </c>
      <c r="I53" s="16" t="s">
        <v>38</v>
      </c>
      <c r="J53" s="16" t="s">
        <v>38</v>
      </c>
      <c r="K53" s="16" t="s">
        <v>38</v>
      </c>
      <c r="L53" s="16" t="s">
        <v>38</v>
      </c>
      <c r="M53" s="16" t="s">
        <v>38</v>
      </c>
      <c r="N53" s="16" t="s">
        <v>38</v>
      </c>
      <c r="O53" s="16">
        <v>0.378</v>
      </c>
      <c r="P53" s="16" t="s">
        <v>38</v>
      </c>
      <c r="Q53" s="16">
        <v>0.38400000000000001</v>
      </c>
      <c r="R53" s="16">
        <v>0.44900000000000001</v>
      </c>
      <c r="S53" s="16">
        <v>0.38800000000000001</v>
      </c>
      <c r="T53" s="16">
        <v>0.379</v>
      </c>
      <c r="U53" s="16">
        <v>0.378</v>
      </c>
      <c r="V53" s="16">
        <v>0.377</v>
      </c>
      <c r="W53" s="16">
        <v>0.39400000000000002</v>
      </c>
      <c r="X53" s="16">
        <v>0.34599999999999997</v>
      </c>
      <c r="Y53" s="16">
        <v>0.35699999999999998</v>
      </c>
      <c r="Z53" s="16">
        <v>0.34599999999999997</v>
      </c>
      <c r="AA53" s="16">
        <v>0.33900000000000002</v>
      </c>
      <c r="AB53" s="16">
        <v>0.35799999999999998</v>
      </c>
      <c r="AC53" s="16">
        <v>0.28000000000000003</v>
      </c>
      <c r="AD53" s="16">
        <v>0.317</v>
      </c>
      <c r="AE53" s="16">
        <v>0.307</v>
      </c>
      <c r="AF53" s="16">
        <v>0.27600000000000002</v>
      </c>
      <c r="AG53" s="16">
        <v>0.27600000000000002</v>
      </c>
      <c r="AH53" s="16">
        <v>0.41299999999999998</v>
      </c>
    </row>
    <row r="54" spans="1:34">
      <c r="A54" s="29">
        <v>45</v>
      </c>
      <c r="B54" s="82">
        <v>254403.621078</v>
      </c>
      <c r="C54" s="82">
        <v>4505611.4397299998</v>
      </c>
      <c r="D54" s="16" t="s">
        <v>38</v>
      </c>
      <c r="E54" s="16" t="s">
        <v>38</v>
      </c>
      <c r="F54" s="16" t="s">
        <v>38</v>
      </c>
      <c r="G54" s="16" t="s">
        <v>38</v>
      </c>
      <c r="H54" s="16" t="s">
        <v>38</v>
      </c>
      <c r="I54" s="16" t="s">
        <v>38</v>
      </c>
      <c r="J54" s="16" t="s">
        <v>38</v>
      </c>
      <c r="K54" s="16" t="s">
        <v>38</v>
      </c>
      <c r="L54" s="16" t="s">
        <v>38</v>
      </c>
      <c r="M54" s="16" t="s">
        <v>38</v>
      </c>
      <c r="N54" s="16" t="s">
        <v>38</v>
      </c>
      <c r="O54" s="16">
        <v>0.33400000000000002</v>
      </c>
      <c r="P54" s="16">
        <v>0.36199999999999999</v>
      </c>
      <c r="Q54" s="16">
        <v>0.33900000000000002</v>
      </c>
      <c r="R54" s="16">
        <v>0.35899999999999999</v>
      </c>
      <c r="S54" s="16">
        <v>0.37</v>
      </c>
      <c r="T54" s="16">
        <v>0.35399999999999998</v>
      </c>
      <c r="U54" s="16">
        <v>0.36199999999999999</v>
      </c>
      <c r="V54" s="16">
        <v>0.35</v>
      </c>
      <c r="W54" s="16">
        <v>0.36499999999999999</v>
      </c>
      <c r="X54" s="16">
        <v>0.35699999999999998</v>
      </c>
      <c r="Y54" s="16">
        <v>0.34699999999999998</v>
      </c>
      <c r="Z54" s="16">
        <v>0.31</v>
      </c>
      <c r="AA54" s="16">
        <v>0.251</v>
      </c>
      <c r="AB54" s="16">
        <v>0.223</v>
      </c>
      <c r="AC54" s="16">
        <v>0.21199999999999999</v>
      </c>
      <c r="AD54" s="16">
        <v>0.23699999999999999</v>
      </c>
      <c r="AE54" s="16">
        <v>0.20699999999999999</v>
      </c>
      <c r="AF54" s="16">
        <v>0.21299999999999999</v>
      </c>
      <c r="AG54" s="16">
        <v>0.21299999999999999</v>
      </c>
      <c r="AH54" s="16">
        <v>0.41399999999999998</v>
      </c>
    </row>
    <row r="55" spans="1:34">
      <c r="A55" s="29">
        <v>46</v>
      </c>
      <c r="B55" s="82">
        <v>254407.499473</v>
      </c>
      <c r="C55" s="82">
        <v>4505609.5358499996</v>
      </c>
      <c r="D55" s="16" t="s">
        <v>38</v>
      </c>
      <c r="E55" s="16" t="s">
        <v>38</v>
      </c>
      <c r="F55" s="16" t="s">
        <v>38</v>
      </c>
      <c r="G55" s="16" t="s">
        <v>38</v>
      </c>
      <c r="H55" s="16" t="s">
        <v>38</v>
      </c>
      <c r="I55" s="16" t="s">
        <v>38</v>
      </c>
      <c r="J55" s="16" t="s">
        <v>38</v>
      </c>
      <c r="K55" s="16" t="s">
        <v>38</v>
      </c>
      <c r="L55" s="16" t="s">
        <v>38</v>
      </c>
      <c r="M55" s="16" t="s">
        <v>38</v>
      </c>
      <c r="N55" s="16" t="s">
        <v>38</v>
      </c>
      <c r="O55" s="16">
        <v>0.22900000000000001</v>
      </c>
      <c r="P55" s="16" t="s">
        <v>38</v>
      </c>
      <c r="Q55" s="16">
        <v>0.25</v>
      </c>
      <c r="R55" s="16">
        <v>0.223</v>
      </c>
      <c r="S55" s="16">
        <v>0.223</v>
      </c>
      <c r="T55" s="16">
        <v>0.19700000000000001</v>
      </c>
      <c r="U55" s="16">
        <v>0.223</v>
      </c>
      <c r="V55" s="16">
        <v>0.24399999999999999</v>
      </c>
      <c r="W55" s="16">
        <v>0.21</v>
      </c>
      <c r="X55" s="16">
        <v>0.23</v>
      </c>
      <c r="Y55" s="16">
        <v>0.24099999999999999</v>
      </c>
      <c r="Z55" s="16">
        <v>0.224</v>
      </c>
      <c r="AA55" s="16">
        <v>0.221</v>
      </c>
      <c r="AB55" s="16">
        <v>0.2</v>
      </c>
      <c r="AC55" s="16">
        <v>0.189</v>
      </c>
      <c r="AD55" s="16">
        <v>0.20599999999999999</v>
      </c>
      <c r="AE55" s="16">
        <v>0.17100000000000001</v>
      </c>
      <c r="AF55" s="16">
        <v>0.158</v>
      </c>
      <c r="AG55" s="16">
        <v>0.158</v>
      </c>
      <c r="AH55" s="16">
        <v>0.25600000000000001</v>
      </c>
    </row>
    <row r="56" spans="1:34">
      <c r="A56" s="29">
        <v>47</v>
      </c>
      <c r="B56" s="82">
        <v>254415.342535</v>
      </c>
      <c r="C56" s="82">
        <v>4505592.7560700001</v>
      </c>
      <c r="D56" s="16" t="s">
        <v>38</v>
      </c>
      <c r="E56" s="16" t="s">
        <v>38</v>
      </c>
      <c r="F56" s="16" t="s">
        <v>38</v>
      </c>
      <c r="G56" s="16" t="s">
        <v>38</v>
      </c>
      <c r="H56" s="16" t="s">
        <v>38</v>
      </c>
      <c r="I56" s="16" t="s">
        <v>38</v>
      </c>
      <c r="J56" s="16" t="s">
        <v>38</v>
      </c>
      <c r="K56" s="16" t="s">
        <v>38</v>
      </c>
      <c r="L56" s="16" t="s">
        <v>38</v>
      </c>
      <c r="M56" s="16" t="s">
        <v>38</v>
      </c>
      <c r="N56" s="16" t="s">
        <v>38</v>
      </c>
      <c r="O56" s="16" t="s">
        <v>38</v>
      </c>
      <c r="P56" s="16" t="s">
        <v>38</v>
      </c>
      <c r="Q56" s="16" t="s">
        <v>38</v>
      </c>
      <c r="R56" s="16" t="s">
        <v>38</v>
      </c>
      <c r="S56" s="16" t="s">
        <v>38</v>
      </c>
      <c r="T56" s="16" t="s">
        <v>38</v>
      </c>
      <c r="U56" s="16" t="s">
        <v>38</v>
      </c>
      <c r="V56" s="16" t="s">
        <v>38</v>
      </c>
      <c r="W56" s="16" t="s">
        <v>38</v>
      </c>
      <c r="X56" s="16" t="s">
        <v>38</v>
      </c>
      <c r="Y56" s="16" t="s">
        <v>38</v>
      </c>
      <c r="Z56" s="16" t="s">
        <v>38</v>
      </c>
      <c r="AA56" s="16" t="s">
        <v>38</v>
      </c>
      <c r="AB56" s="16" t="s">
        <v>38</v>
      </c>
      <c r="AC56" s="16" t="s">
        <v>38</v>
      </c>
      <c r="AD56" s="16" t="s">
        <v>38</v>
      </c>
      <c r="AE56" s="16" t="s">
        <v>38</v>
      </c>
      <c r="AF56" s="16" t="s">
        <v>38</v>
      </c>
      <c r="AG56" s="16" t="s">
        <v>38</v>
      </c>
      <c r="AH56" s="16" t="s">
        <v>38</v>
      </c>
    </row>
    <row r="57" spans="1:34">
      <c r="A57" s="29">
        <v>48</v>
      </c>
      <c r="B57" s="82">
        <v>254410.90681099999</v>
      </c>
      <c r="C57" s="82">
        <v>4505631.4095900003</v>
      </c>
      <c r="D57" s="16" t="s">
        <v>38</v>
      </c>
      <c r="E57" s="16" t="s">
        <v>38</v>
      </c>
      <c r="F57" s="16" t="s">
        <v>38</v>
      </c>
      <c r="G57" s="16" t="s">
        <v>38</v>
      </c>
      <c r="H57" s="16" t="s">
        <v>38</v>
      </c>
      <c r="I57" s="16" t="s">
        <v>38</v>
      </c>
      <c r="J57" s="16" t="s">
        <v>38</v>
      </c>
      <c r="K57" s="16" t="s">
        <v>38</v>
      </c>
      <c r="L57" s="16" t="s">
        <v>38</v>
      </c>
      <c r="M57" s="16" t="s">
        <v>38</v>
      </c>
      <c r="N57" s="16" t="s">
        <v>38</v>
      </c>
      <c r="O57" s="16" t="s">
        <v>38</v>
      </c>
      <c r="P57" s="16" t="s">
        <v>38</v>
      </c>
      <c r="Q57" s="16" t="s">
        <v>38</v>
      </c>
      <c r="R57" s="16" t="s">
        <v>38</v>
      </c>
      <c r="S57" s="16" t="s">
        <v>38</v>
      </c>
      <c r="T57" s="16" t="s">
        <v>38</v>
      </c>
      <c r="U57" s="16" t="s">
        <v>38</v>
      </c>
      <c r="V57" s="16" t="s">
        <v>38</v>
      </c>
      <c r="W57" s="16" t="s">
        <v>38</v>
      </c>
      <c r="X57" s="16" t="s">
        <v>38</v>
      </c>
      <c r="Y57" s="16" t="s">
        <v>38</v>
      </c>
      <c r="Z57" s="16" t="s">
        <v>38</v>
      </c>
      <c r="AA57" s="16" t="s">
        <v>38</v>
      </c>
      <c r="AB57" s="16" t="s">
        <v>38</v>
      </c>
      <c r="AC57" s="16" t="s">
        <v>38</v>
      </c>
      <c r="AD57" s="16" t="s">
        <v>38</v>
      </c>
      <c r="AE57" s="16" t="s">
        <v>38</v>
      </c>
      <c r="AF57" s="16" t="s">
        <v>38</v>
      </c>
      <c r="AG57" s="16" t="s">
        <v>38</v>
      </c>
      <c r="AH57" s="16" t="s">
        <v>38</v>
      </c>
    </row>
    <row r="58" spans="1:34">
      <c r="A58" s="29">
        <v>49</v>
      </c>
      <c r="B58" s="83">
        <v>254409.04055599999</v>
      </c>
      <c r="C58" s="83">
        <v>4505680.3762499997</v>
      </c>
      <c r="D58" s="16" t="s">
        <v>38</v>
      </c>
      <c r="E58" s="16" t="s">
        <v>38</v>
      </c>
      <c r="F58" s="16" t="s">
        <v>38</v>
      </c>
      <c r="G58" s="16" t="s">
        <v>38</v>
      </c>
      <c r="H58" s="16" t="s">
        <v>38</v>
      </c>
      <c r="I58" s="16" t="s">
        <v>38</v>
      </c>
      <c r="J58" s="16" t="s">
        <v>38</v>
      </c>
      <c r="K58" s="16" t="s">
        <v>38</v>
      </c>
      <c r="L58" s="16" t="s">
        <v>38</v>
      </c>
      <c r="M58" s="16" t="s">
        <v>38</v>
      </c>
      <c r="N58" s="16" t="s">
        <v>38</v>
      </c>
      <c r="O58" s="16" t="s">
        <v>38</v>
      </c>
      <c r="P58" s="16" t="s">
        <v>38</v>
      </c>
      <c r="Q58" s="16" t="s">
        <v>38</v>
      </c>
      <c r="R58" s="16" t="s">
        <v>38</v>
      </c>
      <c r="S58" s="16" t="s">
        <v>38</v>
      </c>
      <c r="T58" s="16" t="s">
        <v>38</v>
      </c>
      <c r="U58" s="16" t="s">
        <v>38</v>
      </c>
      <c r="V58" s="16" t="s">
        <v>38</v>
      </c>
      <c r="W58" s="16" t="s">
        <v>38</v>
      </c>
      <c r="X58" s="16" t="s">
        <v>38</v>
      </c>
      <c r="Y58" s="16" t="s">
        <v>38</v>
      </c>
      <c r="Z58" s="16" t="s">
        <v>38</v>
      </c>
      <c r="AA58" s="16" t="s">
        <v>38</v>
      </c>
      <c r="AB58" s="16" t="s">
        <v>38</v>
      </c>
      <c r="AC58" s="16" t="s">
        <v>38</v>
      </c>
      <c r="AD58" s="16" t="s">
        <v>38</v>
      </c>
      <c r="AE58" s="16" t="s">
        <v>38</v>
      </c>
      <c r="AF58" s="16" t="s">
        <v>38</v>
      </c>
      <c r="AG58" s="16" t="s">
        <v>38</v>
      </c>
      <c r="AH58" s="16" t="s">
        <v>38</v>
      </c>
    </row>
    <row r="59" spans="1:34">
      <c r="A59" s="29">
        <v>50</v>
      </c>
      <c r="B59" s="82">
        <v>254459.96109699999</v>
      </c>
      <c r="C59" s="82">
        <v>4505611.5409000004</v>
      </c>
      <c r="D59" s="16" t="s">
        <v>38</v>
      </c>
      <c r="E59" s="16" t="s">
        <v>38</v>
      </c>
      <c r="F59" s="16" t="s">
        <v>38</v>
      </c>
      <c r="G59" s="16" t="s">
        <v>38</v>
      </c>
      <c r="H59" s="16" t="s">
        <v>38</v>
      </c>
      <c r="I59" s="16" t="s">
        <v>38</v>
      </c>
      <c r="J59" s="16" t="s">
        <v>38</v>
      </c>
      <c r="K59" s="16" t="s">
        <v>38</v>
      </c>
      <c r="L59" s="16" t="s">
        <v>38</v>
      </c>
      <c r="M59" s="16" t="s">
        <v>38</v>
      </c>
      <c r="N59" s="16" t="s">
        <v>38</v>
      </c>
      <c r="O59" s="16" t="s">
        <v>38</v>
      </c>
      <c r="P59" s="16" t="s">
        <v>38</v>
      </c>
      <c r="Q59" s="16" t="s">
        <v>38</v>
      </c>
      <c r="R59" s="16" t="s">
        <v>38</v>
      </c>
      <c r="S59" s="16" t="s">
        <v>38</v>
      </c>
      <c r="T59" s="16" t="s">
        <v>38</v>
      </c>
      <c r="U59" s="16" t="s">
        <v>38</v>
      </c>
      <c r="V59" s="16" t="s">
        <v>38</v>
      </c>
      <c r="W59" s="16" t="s">
        <v>38</v>
      </c>
      <c r="X59" s="16" t="s">
        <v>38</v>
      </c>
      <c r="Y59" s="16" t="s">
        <v>38</v>
      </c>
      <c r="Z59" s="16" t="s">
        <v>38</v>
      </c>
      <c r="AA59" s="16" t="s">
        <v>38</v>
      </c>
      <c r="AB59" s="16" t="s">
        <v>38</v>
      </c>
      <c r="AC59" s="16" t="s">
        <v>38</v>
      </c>
      <c r="AD59" s="16" t="s">
        <v>38</v>
      </c>
      <c r="AE59" s="16" t="s">
        <v>38</v>
      </c>
      <c r="AF59" s="16" t="s">
        <v>38</v>
      </c>
      <c r="AG59" s="16" t="s">
        <v>38</v>
      </c>
      <c r="AH59" s="16" t="s">
        <v>38</v>
      </c>
    </row>
    <row r="60" spans="1:34">
      <c r="A60" s="29">
        <v>51</v>
      </c>
      <c r="B60" s="82">
        <v>254457.91333000001</v>
      </c>
      <c r="C60" s="82">
        <v>4505621.1563900001</v>
      </c>
      <c r="D60" s="16" t="s">
        <v>38</v>
      </c>
      <c r="E60" s="16" t="s">
        <v>38</v>
      </c>
      <c r="F60" s="16" t="s">
        <v>38</v>
      </c>
      <c r="G60" s="16" t="s">
        <v>38</v>
      </c>
      <c r="H60" s="16" t="s">
        <v>38</v>
      </c>
      <c r="I60" s="16" t="s">
        <v>38</v>
      </c>
      <c r="J60" s="16" t="s">
        <v>38</v>
      </c>
      <c r="K60" s="16" t="s">
        <v>38</v>
      </c>
      <c r="L60" s="16" t="s">
        <v>38</v>
      </c>
      <c r="M60" s="16" t="s">
        <v>38</v>
      </c>
      <c r="N60" s="16" t="s">
        <v>38</v>
      </c>
      <c r="O60" s="16">
        <v>0.28999999999999998</v>
      </c>
      <c r="P60" s="16">
        <v>0.28899999999999998</v>
      </c>
      <c r="Q60" s="16" t="s">
        <v>38</v>
      </c>
      <c r="R60" s="16">
        <v>0.33300000000000002</v>
      </c>
      <c r="S60" s="16">
        <v>0.315</v>
      </c>
      <c r="T60" s="16">
        <v>0.31900000000000001</v>
      </c>
      <c r="U60" s="16">
        <v>0.32</v>
      </c>
      <c r="V60" s="16">
        <v>0.316</v>
      </c>
      <c r="W60" s="16">
        <v>0.317</v>
      </c>
      <c r="X60" s="16">
        <v>0.308</v>
      </c>
      <c r="Y60" s="16">
        <v>0.29899999999999999</v>
      </c>
      <c r="Z60" s="16">
        <v>0.27700000000000002</v>
      </c>
      <c r="AA60" s="16">
        <v>0.255</v>
      </c>
      <c r="AB60" s="16">
        <v>0.20699999999999999</v>
      </c>
      <c r="AC60" s="16">
        <v>0.222</v>
      </c>
      <c r="AD60" s="16">
        <v>0.20899999999999999</v>
      </c>
      <c r="AE60" s="16">
        <v>0.22600000000000001</v>
      </c>
      <c r="AF60" s="16">
        <v>0.19400000000000001</v>
      </c>
      <c r="AG60" s="16">
        <v>0.19400000000000001</v>
      </c>
      <c r="AH60" s="16">
        <v>0.39100000000000001</v>
      </c>
    </row>
    <row r="61" spans="1:34">
      <c r="A61" s="29" t="s">
        <v>14</v>
      </c>
      <c r="B61" s="82">
        <v>254459.08399399999</v>
      </c>
      <c r="C61" s="82">
        <v>4505622.0498400005</v>
      </c>
      <c r="D61" s="16" t="s">
        <v>38</v>
      </c>
      <c r="E61" s="16" t="s">
        <v>38</v>
      </c>
      <c r="F61" s="16" t="s">
        <v>38</v>
      </c>
      <c r="G61" s="16" t="s">
        <v>38</v>
      </c>
      <c r="H61" s="16" t="s">
        <v>38</v>
      </c>
      <c r="I61" s="16" t="s">
        <v>38</v>
      </c>
      <c r="J61" s="16" t="s">
        <v>38</v>
      </c>
      <c r="K61" s="16" t="s">
        <v>38</v>
      </c>
      <c r="L61" s="16" t="s">
        <v>38</v>
      </c>
      <c r="M61" s="16" t="s">
        <v>38</v>
      </c>
      <c r="N61" s="16" t="s">
        <v>38</v>
      </c>
      <c r="O61" s="16">
        <v>0.317</v>
      </c>
      <c r="P61" s="16">
        <v>0.32400000000000001</v>
      </c>
      <c r="Q61" s="16" t="s">
        <v>38</v>
      </c>
      <c r="R61" s="16">
        <v>0.372</v>
      </c>
      <c r="S61" s="16">
        <v>0.32400000000000001</v>
      </c>
      <c r="T61" s="16" t="s">
        <v>38</v>
      </c>
      <c r="U61" s="16">
        <v>0.35499999999999998</v>
      </c>
      <c r="V61" s="16">
        <v>0.35299999999999998</v>
      </c>
      <c r="W61" s="16" t="s">
        <v>38</v>
      </c>
      <c r="X61" s="16">
        <v>0.34300000000000003</v>
      </c>
      <c r="Y61" s="16">
        <v>0.318</v>
      </c>
      <c r="Z61" s="16" t="s">
        <v>38</v>
      </c>
      <c r="AA61" s="16">
        <v>0.20499999999999999</v>
      </c>
      <c r="AB61" s="16">
        <v>0.188</v>
      </c>
      <c r="AC61" s="16">
        <v>0.20200000000000001</v>
      </c>
      <c r="AD61" s="16" t="s">
        <v>38</v>
      </c>
      <c r="AE61" s="16" t="s">
        <v>38</v>
      </c>
      <c r="AF61" s="16">
        <v>0.18099999999999999</v>
      </c>
      <c r="AG61" s="16">
        <v>0.18099999999999999</v>
      </c>
      <c r="AH61" s="16">
        <v>0.41199999999999998</v>
      </c>
    </row>
    <row r="62" spans="1:34">
      <c r="A62" s="29" t="s">
        <v>15</v>
      </c>
      <c r="B62" s="82">
        <v>254458.677084</v>
      </c>
      <c r="C62" s="82">
        <v>4505620.2194800004</v>
      </c>
      <c r="D62" s="16" t="s">
        <v>38</v>
      </c>
      <c r="E62" s="16" t="s">
        <v>38</v>
      </c>
      <c r="F62" s="16" t="s">
        <v>38</v>
      </c>
      <c r="G62" s="16" t="s">
        <v>38</v>
      </c>
      <c r="H62" s="16" t="s">
        <v>38</v>
      </c>
      <c r="I62" s="16" t="s">
        <v>38</v>
      </c>
      <c r="J62" s="16" t="s">
        <v>38</v>
      </c>
      <c r="K62" s="16" t="s">
        <v>38</v>
      </c>
      <c r="L62" s="16" t="s">
        <v>38</v>
      </c>
      <c r="M62" s="16" t="s">
        <v>38</v>
      </c>
      <c r="N62" s="16" t="s">
        <v>38</v>
      </c>
      <c r="O62" s="16">
        <v>0.307</v>
      </c>
      <c r="P62" s="16">
        <v>0.30199999999999999</v>
      </c>
      <c r="Q62" s="16" t="s">
        <v>38</v>
      </c>
      <c r="R62" s="16">
        <v>0.34499999999999997</v>
      </c>
      <c r="S62" s="16">
        <v>0.28399999999999997</v>
      </c>
      <c r="T62" s="16" t="s">
        <v>38</v>
      </c>
      <c r="U62" s="16">
        <v>0.313</v>
      </c>
      <c r="V62" s="16">
        <v>0.311</v>
      </c>
      <c r="W62" s="16" t="s">
        <v>38</v>
      </c>
      <c r="X62" s="16">
        <v>0.316</v>
      </c>
      <c r="Y62" s="16">
        <v>0.27900000000000003</v>
      </c>
      <c r="Z62" s="16" t="s">
        <v>38</v>
      </c>
      <c r="AA62" s="16">
        <v>0.218</v>
      </c>
      <c r="AB62" s="16">
        <v>0.20499999999999999</v>
      </c>
      <c r="AC62" s="16">
        <v>0.19900000000000001</v>
      </c>
      <c r="AD62" s="16" t="s">
        <v>38</v>
      </c>
      <c r="AE62" s="16" t="s">
        <v>38</v>
      </c>
      <c r="AF62" s="16">
        <v>0.19500000000000001</v>
      </c>
      <c r="AG62" s="16">
        <v>0.19500000000000001</v>
      </c>
      <c r="AH62" s="16">
        <v>0.29699999999999999</v>
      </c>
    </row>
    <row r="63" spans="1:34">
      <c r="A63" s="29" t="s">
        <v>16</v>
      </c>
      <c r="B63" s="82">
        <v>254456.72850500001</v>
      </c>
      <c r="C63" s="82">
        <v>4505620.3603600003</v>
      </c>
      <c r="D63" s="16" t="s">
        <v>38</v>
      </c>
      <c r="E63" s="16" t="s">
        <v>38</v>
      </c>
      <c r="F63" s="16" t="s">
        <v>38</v>
      </c>
      <c r="G63" s="16" t="s">
        <v>38</v>
      </c>
      <c r="H63" s="16" t="s">
        <v>38</v>
      </c>
      <c r="I63" s="16" t="s">
        <v>38</v>
      </c>
      <c r="J63" s="16" t="s">
        <v>38</v>
      </c>
      <c r="K63" s="16" t="s">
        <v>38</v>
      </c>
      <c r="L63" s="16" t="s">
        <v>38</v>
      </c>
      <c r="M63" s="16" t="s">
        <v>38</v>
      </c>
      <c r="N63" s="16" t="s">
        <v>38</v>
      </c>
      <c r="O63" s="16">
        <v>0.27700000000000002</v>
      </c>
      <c r="P63" s="16">
        <v>0.29599999999999999</v>
      </c>
      <c r="Q63" s="16" t="s">
        <v>38</v>
      </c>
      <c r="R63" s="16">
        <v>0.31900000000000001</v>
      </c>
      <c r="S63" s="16">
        <v>0.28599999999999998</v>
      </c>
      <c r="T63" s="16" t="s">
        <v>38</v>
      </c>
      <c r="U63" s="16">
        <v>0.29699999999999999</v>
      </c>
      <c r="V63" s="16">
        <v>0.29099999999999998</v>
      </c>
      <c r="W63" s="16" t="s">
        <v>38</v>
      </c>
      <c r="X63" s="16">
        <v>0.28399999999999997</v>
      </c>
      <c r="Y63" s="16">
        <v>0.28100000000000003</v>
      </c>
      <c r="Z63" s="16" t="s">
        <v>38</v>
      </c>
      <c r="AA63" s="16">
        <v>0.22600000000000001</v>
      </c>
      <c r="AB63" s="16">
        <v>0.20699999999999999</v>
      </c>
      <c r="AC63" s="16">
        <v>0.20499999999999999</v>
      </c>
      <c r="AD63" s="16" t="s">
        <v>38</v>
      </c>
      <c r="AE63" s="16" t="s">
        <v>38</v>
      </c>
      <c r="AF63" s="16">
        <v>0.182</v>
      </c>
      <c r="AG63" s="16">
        <v>0.182</v>
      </c>
      <c r="AH63" s="16">
        <v>0.248</v>
      </c>
    </row>
    <row r="64" spans="1:34">
      <c r="A64" s="29" t="s">
        <v>17</v>
      </c>
      <c r="B64" s="82">
        <v>254457.14039799999</v>
      </c>
      <c r="C64" s="82">
        <v>4505622.2859399999</v>
      </c>
      <c r="D64" s="16" t="s">
        <v>38</v>
      </c>
      <c r="E64" s="16" t="s">
        <v>38</v>
      </c>
      <c r="F64" s="16" t="s">
        <v>38</v>
      </c>
      <c r="G64" s="16" t="s">
        <v>38</v>
      </c>
      <c r="H64" s="16" t="s">
        <v>38</v>
      </c>
      <c r="I64" s="16" t="s">
        <v>38</v>
      </c>
      <c r="J64" s="16" t="s">
        <v>38</v>
      </c>
      <c r="K64" s="16" t="s">
        <v>38</v>
      </c>
      <c r="L64" s="16" t="s">
        <v>38</v>
      </c>
      <c r="M64" s="16" t="s">
        <v>38</v>
      </c>
      <c r="N64" s="16" t="s">
        <v>38</v>
      </c>
      <c r="O64" s="16">
        <v>0.314</v>
      </c>
      <c r="P64" s="16">
        <v>0.32500000000000001</v>
      </c>
      <c r="Q64" s="16" t="s">
        <v>38</v>
      </c>
      <c r="R64" s="16">
        <v>0.34899999999999998</v>
      </c>
      <c r="S64" s="16">
        <v>0.34100000000000003</v>
      </c>
      <c r="T64" s="16" t="s">
        <v>38</v>
      </c>
      <c r="U64" s="16">
        <v>0.32600000000000001</v>
      </c>
      <c r="V64" s="16">
        <v>0.35699999999999998</v>
      </c>
      <c r="W64" s="16" t="s">
        <v>38</v>
      </c>
      <c r="X64" s="16">
        <v>0.32200000000000001</v>
      </c>
      <c r="Y64" s="16">
        <v>0.32900000000000001</v>
      </c>
      <c r="Z64" s="16" t="s">
        <v>38</v>
      </c>
      <c r="AA64" s="16">
        <v>0.22900000000000001</v>
      </c>
      <c r="AB64" s="16">
        <v>0.224</v>
      </c>
      <c r="AC64" s="16">
        <v>0.221</v>
      </c>
      <c r="AD64" s="16" t="s">
        <v>38</v>
      </c>
      <c r="AE64" s="16" t="s">
        <v>38</v>
      </c>
      <c r="AF64" s="16">
        <v>0.20100000000000001</v>
      </c>
      <c r="AG64" s="16">
        <v>0.20100000000000001</v>
      </c>
      <c r="AH64" s="16">
        <v>0.39500000000000002</v>
      </c>
    </row>
    <row r="65" spans="1:34">
      <c r="A65" s="29">
        <v>52</v>
      </c>
      <c r="B65" s="82">
        <v>254458.46923300001</v>
      </c>
      <c r="C65" s="82">
        <v>4505643.4115500003</v>
      </c>
      <c r="D65" s="16" t="s">
        <v>38</v>
      </c>
      <c r="E65" s="16" t="s">
        <v>38</v>
      </c>
      <c r="F65" s="16" t="s">
        <v>38</v>
      </c>
      <c r="G65" s="16" t="s">
        <v>38</v>
      </c>
      <c r="H65" s="16" t="s">
        <v>38</v>
      </c>
      <c r="I65" s="16" t="s">
        <v>38</v>
      </c>
      <c r="J65" s="16" t="s">
        <v>38</v>
      </c>
      <c r="K65" s="16" t="s">
        <v>38</v>
      </c>
      <c r="L65" s="16" t="s">
        <v>38</v>
      </c>
      <c r="M65" s="16" t="s">
        <v>38</v>
      </c>
      <c r="N65" s="16" t="s">
        <v>38</v>
      </c>
      <c r="O65" s="16">
        <v>0.33100000000000002</v>
      </c>
      <c r="P65" s="16">
        <v>0.32700000000000001</v>
      </c>
      <c r="Q65" s="16" t="s">
        <v>38</v>
      </c>
      <c r="R65" s="16">
        <v>0.371</v>
      </c>
      <c r="S65" s="16">
        <v>0.35799999999999998</v>
      </c>
      <c r="T65" s="16">
        <v>0.36199999999999999</v>
      </c>
      <c r="U65" s="16">
        <v>0.38</v>
      </c>
      <c r="V65" s="16">
        <v>0.35</v>
      </c>
      <c r="W65" s="16">
        <v>0.376</v>
      </c>
      <c r="X65" s="16">
        <v>0.38900000000000001</v>
      </c>
      <c r="Y65" s="16">
        <v>0.34</v>
      </c>
      <c r="Z65" s="16">
        <v>0.316</v>
      </c>
      <c r="AA65" s="16">
        <v>0.27300000000000002</v>
      </c>
      <c r="AB65" s="16">
        <v>0.245</v>
      </c>
      <c r="AC65" s="16">
        <v>0.24399999999999999</v>
      </c>
      <c r="AD65" s="16">
        <v>0.23499999999999999</v>
      </c>
      <c r="AE65" s="16">
        <v>0.215</v>
      </c>
      <c r="AF65" s="16">
        <v>0.219</v>
      </c>
      <c r="AG65" s="16">
        <v>0.219</v>
      </c>
      <c r="AH65" s="16">
        <v>0.34499999999999997</v>
      </c>
    </row>
    <row r="66" spans="1:34">
      <c r="A66" s="29">
        <v>53</v>
      </c>
      <c r="B66" s="82">
        <v>254461.35652100001</v>
      </c>
      <c r="C66" s="82">
        <v>4505680.3409799999</v>
      </c>
      <c r="D66" s="16" t="s">
        <v>38</v>
      </c>
      <c r="E66" s="16" t="s">
        <v>38</v>
      </c>
      <c r="F66" s="16" t="s">
        <v>38</v>
      </c>
      <c r="G66" s="16" t="s">
        <v>38</v>
      </c>
      <c r="H66" s="16" t="s">
        <v>38</v>
      </c>
      <c r="I66" s="16" t="s">
        <v>38</v>
      </c>
      <c r="J66" s="16" t="s">
        <v>38</v>
      </c>
      <c r="K66" s="16" t="s">
        <v>38</v>
      </c>
      <c r="L66" s="16" t="s">
        <v>38</v>
      </c>
      <c r="M66" s="16" t="s">
        <v>38</v>
      </c>
      <c r="N66" s="16" t="s">
        <v>38</v>
      </c>
      <c r="O66" s="16">
        <v>0.36099999999999999</v>
      </c>
      <c r="P66" s="16">
        <v>0.35899999999999999</v>
      </c>
      <c r="Q66" s="16">
        <v>0.38900000000000001</v>
      </c>
      <c r="R66" s="16">
        <v>0.434</v>
      </c>
      <c r="S66" s="16">
        <v>0.38700000000000001</v>
      </c>
      <c r="T66" s="16">
        <v>0.376</v>
      </c>
      <c r="U66" s="16">
        <v>0.373</v>
      </c>
      <c r="V66" s="16">
        <v>0.38</v>
      </c>
      <c r="W66" s="16">
        <v>0.40400000000000003</v>
      </c>
      <c r="X66" s="16">
        <v>0.377</v>
      </c>
      <c r="Y66" s="16">
        <v>0.33800000000000002</v>
      </c>
      <c r="Z66" s="16">
        <v>0.29299999999999998</v>
      </c>
      <c r="AA66" s="16">
        <v>0.24099999999999999</v>
      </c>
      <c r="AB66" s="16">
        <v>0.24299999999999999</v>
      </c>
      <c r="AC66" s="16">
        <v>0.22800000000000001</v>
      </c>
      <c r="AD66" s="16">
        <v>0.22900000000000001</v>
      </c>
      <c r="AE66" s="16">
        <v>0.215</v>
      </c>
      <c r="AF66" s="16">
        <v>0.217</v>
      </c>
      <c r="AG66" s="16">
        <v>0.217</v>
      </c>
      <c r="AH66" s="16">
        <v>0.39700000000000002</v>
      </c>
    </row>
    <row r="67" spans="1:34">
      <c r="A67" s="29" t="s">
        <v>18</v>
      </c>
      <c r="B67" s="82">
        <v>254462.48352099999</v>
      </c>
      <c r="C67" s="82">
        <v>4505680.94594</v>
      </c>
      <c r="D67" s="16" t="s">
        <v>38</v>
      </c>
      <c r="E67" s="16" t="s">
        <v>38</v>
      </c>
      <c r="F67" s="16" t="s">
        <v>38</v>
      </c>
      <c r="G67" s="16" t="s">
        <v>38</v>
      </c>
      <c r="H67" s="16" t="s">
        <v>38</v>
      </c>
      <c r="I67" s="16" t="s">
        <v>38</v>
      </c>
      <c r="J67" s="16" t="s">
        <v>38</v>
      </c>
      <c r="K67" s="16" t="s">
        <v>38</v>
      </c>
      <c r="L67" s="16" t="s">
        <v>38</v>
      </c>
      <c r="M67" s="16" t="s">
        <v>38</v>
      </c>
      <c r="N67" s="16" t="s">
        <v>38</v>
      </c>
      <c r="O67" s="16">
        <v>0.27700000000000002</v>
      </c>
      <c r="P67" s="16">
        <v>0.27</v>
      </c>
      <c r="Q67" s="16">
        <v>0.28499999999999998</v>
      </c>
      <c r="R67" s="16">
        <v>0.25700000000000001</v>
      </c>
      <c r="S67" s="16">
        <v>0.25</v>
      </c>
      <c r="T67" s="16" t="s">
        <v>38</v>
      </c>
      <c r="U67" s="16">
        <v>0.27600000000000002</v>
      </c>
      <c r="V67" s="16">
        <v>0.25900000000000001</v>
      </c>
      <c r="W67" s="16" t="s">
        <v>38</v>
      </c>
      <c r="X67" s="16">
        <v>0.28000000000000003</v>
      </c>
      <c r="Y67" s="16">
        <v>0.26</v>
      </c>
      <c r="Z67" s="16" t="s">
        <v>38</v>
      </c>
      <c r="AA67" s="16">
        <v>0.189</v>
      </c>
      <c r="AB67" s="16">
        <v>0.16600000000000001</v>
      </c>
      <c r="AC67" s="16">
        <v>0.16400000000000001</v>
      </c>
      <c r="AD67" s="16" t="s">
        <v>38</v>
      </c>
      <c r="AE67" s="16" t="s">
        <v>38</v>
      </c>
      <c r="AF67" s="16">
        <v>0.17100000000000001</v>
      </c>
      <c r="AG67" s="16">
        <v>0.17100000000000001</v>
      </c>
      <c r="AH67" s="16">
        <v>0.26300000000000001</v>
      </c>
    </row>
    <row r="68" spans="1:34">
      <c r="A68" s="29" t="s">
        <v>19</v>
      </c>
      <c r="B68" s="82">
        <v>254462.19347299999</v>
      </c>
      <c r="C68" s="82">
        <v>4505679.2486500004</v>
      </c>
      <c r="D68" s="16" t="s">
        <v>38</v>
      </c>
      <c r="E68" s="16" t="s">
        <v>38</v>
      </c>
      <c r="F68" s="16" t="s">
        <v>38</v>
      </c>
      <c r="G68" s="16" t="s">
        <v>38</v>
      </c>
      <c r="H68" s="16" t="s">
        <v>38</v>
      </c>
      <c r="I68" s="16" t="s">
        <v>38</v>
      </c>
      <c r="J68" s="16" t="s">
        <v>38</v>
      </c>
      <c r="K68" s="16" t="s">
        <v>38</v>
      </c>
      <c r="L68" s="16" t="s">
        <v>38</v>
      </c>
      <c r="M68" s="16" t="s">
        <v>38</v>
      </c>
      <c r="N68" s="16" t="s">
        <v>38</v>
      </c>
      <c r="O68" s="16">
        <v>0.26400000000000001</v>
      </c>
      <c r="P68" s="16">
        <v>0.27</v>
      </c>
      <c r="Q68" s="16">
        <v>0.28699999999999998</v>
      </c>
      <c r="R68" s="16">
        <v>0.28499999999999998</v>
      </c>
      <c r="S68" s="16">
        <v>0.28799999999999998</v>
      </c>
      <c r="T68" s="16" t="s">
        <v>38</v>
      </c>
      <c r="U68" s="16">
        <v>0.28899999999999998</v>
      </c>
      <c r="V68" s="16">
        <v>0.28199999999999997</v>
      </c>
      <c r="W68" s="16" t="s">
        <v>38</v>
      </c>
      <c r="X68" s="16">
        <v>0.28499999999999998</v>
      </c>
      <c r="Y68" s="16">
        <v>0.255</v>
      </c>
      <c r="Z68" s="16" t="s">
        <v>38</v>
      </c>
      <c r="AA68" s="16">
        <v>0.20599999999999999</v>
      </c>
      <c r="AB68" s="16">
        <v>0.184</v>
      </c>
      <c r="AC68" s="16">
        <v>0.183</v>
      </c>
      <c r="AD68" s="16" t="s">
        <v>38</v>
      </c>
      <c r="AE68" s="16" t="s">
        <v>38</v>
      </c>
      <c r="AF68" s="16">
        <v>0.184</v>
      </c>
      <c r="AG68" s="16">
        <v>0.184</v>
      </c>
      <c r="AH68" s="16">
        <v>0.27700000000000002</v>
      </c>
    </row>
    <row r="69" spans="1:34">
      <c r="A69" s="29" t="s">
        <v>20</v>
      </c>
      <c r="B69" s="82">
        <v>254460.18427299999</v>
      </c>
      <c r="C69" s="82">
        <v>4505679.29464</v>
      </c>
      <c r="D69" s="16" t="s">
        <v>38</v>
      </c>
      <c r="E69" s="16" t="s">
        <v>38</v>
      </c>
      <c r="F69" s="16" t="s">
        <v>38</v>
      </c>
      <c r="G69" s="16" t="s">
        <v>38</v>
      </c>
      <c r="H69" s="16" t="s">
        <v>38</v>
      </c>
      <c r="I69" s="16" t="s">
        <v>38</v>
      </c>
      <c r="J69" s="16" t="s">
        <v>38</v>
      </c>
      <c r="K69" s="16" t="s">
        <v>38</v>
      </c>
      <c r="L69" s="16" t="s">
        <v>38</v>
      </c>
      <c r="M69" s="16" t="s">
        <v>38</v>
      </c>
      <c r="N69" s="16" t="s">
        <v>38</v>
      </c>
      <c r="O69" s="16">
        <v>0.28699999999999998</v>
      </c>
      <c r="P69" s="16">
        <v>0.28999999999999998</v>
      </c>
      <c r="Q69" s="16">
        <v>0.311</v>
      </c>
      <c r="R69" s="16">
        <v>0.33</v>
      </c>
      <c r="S69" s="16">
        <v>0.311</v>
      </c>
      <c r="T69" s="16" t="s">
        <v>38</v>
      </c>
      <c r="U69" s="16">
        <v>0.314</v>
      </c>
      <c r="V69" s="16">
        <v>0.30599999999999999</v>
      </c>
      <c r="W69" s="16" t="s">
        <v>38</v>
      </c>
      <c r="X69" s="16">
        <v>0.318</v>
      </c>
      <c r="Y69" s="16">
        <v>0.307</v>
      </c>
      <c r="Z69" s="16" t="s">
        <v>38</v>
      </c>
      <c r="AA69" s="16">
        <v>0.192</v>
      </c>
      <c r="AB69" s="16">
        <v>0.185</v>
      </c>
      <c r="AC69" s="16">
        <v>0.19</v>
      </c>
      <c r="AD69" s="16" t="s">
        <v>38</v>
      </c>
      <c r="AE69" s="16" t="s">
        <v>38</v>
      </c>
      <c r="AF69" s="16">
        <v>0.22900000000000001</v>
      </c>
      <c r="AG69" s="16">
        <v>0.22900000000000001</v>
      </c>
      <c r="AH69" s="16">
        <v>0.30499999999999999</v>
      </c>
    </row>
    <row r="70" spans="1:34">
      <c r="A70" s="29" t="s">
        <v>21</v>
      </c>
      <c r="B70" s="82">
        <v>254460.43630199999</v>
      </c>
      <c r="C70" s="82">
        <v>4505681.1553699998</v>
      </c>
      <c r="D70" s="16" t="s">
        <v>38</v>
      </c>
      <c r="E70" s="16" t="s">
        <v>38</v>
      </c>
      <c r="F70" s="16" t="s">
        <v>38</v>
      </c>
      <c r="G70" s="16" t="s">
        <v>38</v>
      </c>
      <c r="H70" s="16" t="s">
        <v>38</v>
      </c>
      <c r="I70" s="16" t="s">
        <v>38</v>
      </c>
      <c r="J70" s="16" t="s">
        <v>38</v>
      </c>
      <c r="K70" s="16" t="s">
        <v>38</v>
      </c>
      <c r="L70" s="16" t="s">
        <v>38</v>
      </c>
      <c r="M70" s="16" t="s">
        <v>38</v>
      </c>
      <c r="N70" s="16" t="s">
        <v>38</v>
      </c>
      <c r="O70" s="16">
        <v>0.29899999999999999</v>
      </c>
      <c r="P70" s="16">
        <v>0.309</v>
      </c>
      <c r="Q70" s="16">
        <v>0.37</v>
      </c>
      <c r="R70" s="16">
        <v>0.33400000000000002</v>
      </c>
      <c r="S70" s="16">
        <v>0.33</v>
      </c>
      <c r="T70" s="16" t="s">
        <v>38</v>
      </c>
      <c r="U70" s="16">
        <v>0.34899999999999998</v>
      </c>
      <c r="V70" s="16">
        <v>0.33200000000000002</v>
      </c>
      <c r="W70" s="16" t="s">
        <v>38</v>
      </c>
      <c r="X70" s="16">
        <v>0.33200000000000002</v>
      </c>
      <c r="Y70" s="16">
        <v>0.32500000000000001</v>
      </c>
      <c r="Z70" s="16" t="s">
        <v>38</v>
      </c>
      <c r="AA70" s="16">
        <v>0.20499999999999999</v>
      </c>
      <c r="AB70" s="16">
        <v>0.21199999999999999</v>
      </c>
      <c r="AC70" s="16">
        <v>0.20399999999999999</v>
      </c>
      <c r="AD70" s="16" t="s">
        <v>38</v>
      </c>
      <c r="AE70" s="16" t="s">
        <v>38</v>
      </c>
      <c r="AF70" s="16">
        <v>0.19500000000000001</v>
      </c>
      <c r="AG70" s="16">
        <v>0.19500000000000001</v>
      </c>
      <c r="AH70" s="16">
        <v>0.42199999999999999</v>
      </c>
    </row>
    <row r="71" spans="1:34">
      <c r="A71" s="29">
        <v>54</v>
      </c>
      <c r="B71" s="82">
        <v>254459.10776799999</v>
      </c>
      <c r="C71" s="82">
        <v>4505704.5320499996</v>
      </c>
      <c r="D71" s="16" t="s">
        <v>38</v>
      </c>
      <c r="E71" s="16" t="s">
        <v>38</v>
      </c>
      <c r="F71" s="16" t="s">
        <v>38</v>
      </c>
      <c r="G71" s="16" t="s">
        <v>38</v>
      </c>
      <c r="H71" s="16" t="s">
        <v>38</v>
      </c>
      <c r="I71" s="16" t="s">
        <v>38</v>
      </c>
      <c r="J71" s="16" t="s">
        <v>38</v>
      </c>
      <c r="K71" s="16" t="s">
        <v>38</v>
      </c>
      <c r="L71" s="16" t="s">
        <v>38</v>
      </c>
      <c r="M71" s="16" t="s">
        <v>38</v>
      </c>
      <c r="N71" s="16" t="s">
        <v>38</v>
      </c>
      <c r="O71" s="16" t="s">
        <v>38</v>
      </c>
      <c r="P71" s="16" t="s">
        <v>38</v>
      </c>
      <c r="Q71" s="16" t="s">
        <v>38</v>
      </c>
      <c r="R71" s="16" t="s">
        <v>38</v>
      </c>
      <c r="S71" s="16" t="s">
        <v>38</v>
      </c>
      <c r="T71" s="16" t="s">
        <v>38</v>
      </c>
      <c r="U71" s="16" t="s">
        <v>38</v>
      </c>
      <c r="V71" s="16" t="s">
        <v>38</v>
      </c>
      <c r="W71" s="16" t="s">
        <v>38</v>
      </c>
      <c r="X71" s="16" t="s">
        <v>38</v>
      </c>
      <c r="Y71" s="16">
        <v>0.30599999999999999</v>
      </c>
      <c r="Z71" s="16">
        <v>0.26400000000000001</v>
      </c>
      <c r="AA71" s="16" t="s">
        <v>38</v>
      </c>
      <c r="AB71" s="16" t="s">
        <v>38</v>
      </c>
      <c r="AC71" s="16">
        <v>0.19900000000000001</v>
      </c>
      <c r="AD71" s="16" t="s">
        <v>38</v>
      </c>
      <c r="AE71" s="16" t="s">
        <v>38</v>
      </c>
      <c r="AF71" s="16" t="s">
        <v>38</v>
      </c>
      <c r="AG71" s="16">
        <v>0.23300000000000001</v>
      </c>
      <c r="AH71" s="16" t="s">
        <v>38</v>
      </c>
    </row>
    <row r="72" spans="1:34">
      <c r="A72" s="29">
        <v>55</v>
      </c>
      <c r="B72" s="82">
        <v>254464.43786400001</v>
      </c>
      <c r="C72" s="82">
        <v>4505623.9690100001</v>
      </c>
      <c r="D72" s="16" t="s">
        <v>38</v>
      </c>
      <c r="E72" s="16" t="s">
        <v>38</v>
      </c>
      <c r="F72" s="16" t="s">
        <v>38</v>
      </c>
      <c r="G72" s="16" t="s">
        <v>38</v>
      </c>
      <c r="H72" s="16" t="s">
        <v>38</v>
      </c>
      <c r="I72" s="16" t="s">
        <v>38</v>
      </c>
      <c r="J72" s="16" t="s">
        <v>38</v>
      </c>
      <c r="K72" s="16" t="s">
        <v>38</v>
      </c>
      <c r="L72" s="16" t="s">
        <v>38</v>
      </c>
      <c r="M72" s="16" t="s">
        <v>38</v>
      </c>
      <c r="N72" s="16" t="s">
        <v>38</v>
      </c>
      <c r="O72" s="16">
        <v>0.315</v>
      </c>
      <c r="P72" s="16">
        <v>0.29899999999999999</v>
      </c>
      <c r="Q72" s="16" t="s">
        <v>38</v>
      </c>
      <c r="R72" s="16">
        <v>0.35899999999999999</v>
      </c>
      <c r="S72" s="16">
        <v>0.32100000000000001</v>
      </c>
      <c r="T72" s="16">
        <v>0.31900000000000001</v>
      </c>
      <c r="U72" s="16">
        <v>0.318</v>
      </c>
      <c r="V72" s="16">
        <v>0.308</v>
      </c>
      <c r="W72" s="16">
        <v>0.33400000000000002</v>
      </c>
      <c r="X72" s="16">
        <v>0.32700000000000001</v>
      </c>
      <c r="Y72" s="16">
        <v>0.32200000000000001</v>
      </c>
      <c r="Z72" s="16">
        <v>0.28100000000000003</v>
      </c>
      <c r="AA72" s="16">
        <v>0.23899999999999999</v>
      </c>
      <c r="AB72" s="16">
        <v>0.24399999999999999</v>
      </c>
      <c r="AC72" s="16">
        <v>0.23300000000000001</v>
      </c>
      <c r="AD72" s="16">
        <v>0.22</v>
      </c>
      <c r="AE72" s="16">
        <v>0.222</v>
      </c>
      <c r="AF72" s="16">
        <v>0.23300000000000001</v>
      </c>
      <c r="AG72" s="16" t="s">
        <v>38</v>
      </c>
      <c r="AH72" s="16">
        <v>0.22500000000000001</v>
      </c>
    </row>
    <row r="73" spans="1:34">
      <c r="A73" s="29" t="s">
        <v>22</v>
      </c>
      <c r="B73" s="82">
        <v>254465.50736700001</v>
      </c>
      <c r="C73" s="82">
        <v>4505625.0454799999</v>
      </c>
      <c r="D73" s="16" t="s">
        <v>38</v>
      </c>
      <c r="E73" s="16" t="s">
        <v>38</v>
      </c>
      <c r="F73" s="16" t="s">
        <v>38</v>
      </c>
      <c r="G73" s="16" t="s">
        <v>38</v>
      </c>
      <c r="H73" s="16" t="s">
        <v>38</v>
      </c>
      <c r="I73" s="16" t="s">
        <v>38</v>
      </c>
      <c r="J73" s="16" t="s">
        <v>38</v>
      </c>
      <c r="K73" s="16" t="s">
        <v>38</v>
      </c>
      <c r="L73" s="16" t="s">
        <v>38</v>
      </c>
      <c r="M73" s="16" t="s">
        <v>38</v>
      </c>
      <c r="N73" s="16" t="s">
        <v>38</v>
      </c>
      <c r="O73" s="16">
        <v>0.27</v>
      </c>
      <c r="P73" s="16">
        <v>0.25700000000000001</v>
      </c>
      <c r="Q73" s="16" t="s">
        <v>38</v>
      </c>
      <c r="R73" s="16">
        <v>0.28000000000000003</v>
      </c>
      <c r="S73" s="16">
        <v>0.28199999999999997</v>
      </c>
      <c r="T73" s="16" t="s">
        <v>38</v>
      </c>
      <c r="U73" s="16">
        <v>0.27300000000000002</v>
      </c>
      <c r="V73" s="16">
        <v>0.27900000000000003</v>
      </c>
      <c r="W73" s="16" t="s">
        <v>38</v>
      </c>
      <c r="X73" s="16">
        <v>0.28999999999999998</v>
      </c>
      <c r="Y73" s="16">
        <v>0.27400000000000002</v>
      </c>
      <c r="Z73" s="16" t="s">
        <v>38</v>
      </c>
      <c r="AA73" s="16" t="s">
        <v>38</v>
      </c>
      <c r="AB73" s="16" t="s">
        <v>38</v>
      </c>
      <c r="AC73" s="16">
        <v>0.186</v>
      </c>
      <c r="AD73" s="16" t="s">
        <v>38</v>
      </c>
      <c r="AE73" s="16" t="s">
        <v>38</v>
      </c>
      <c r="AF73" s="16" t="s">
        <v>38</v>
      </c>
      <c r="AG73" s="16">
        <v>0.20599999999999999</v>
      </c>
      <c r="AH73" s="16" t="s">
        <v>38</v>
      </c>
    </row>
    <row r="74" spans="1:34">
      <c r="A74" s="29" t="s">
        <v>23</v>
      </c>
      <c r="B74" s="82">
        <v>254465.36725000001</v>
      </c>
      <c r="C74" s="82">
        <v>4505622.9550599996</v>
      </c>
      <c r="D74" s="16" t="s">
        <v>38</v>
      </c>
      <c r="E74" s="16" t="s">
        <v>38</v>
      </c>
      <c r="F74" s="16" t="s">
        <v>38</v>
      </c>
      <c r="G74" s="16" t="s">
        <v>38</v>
      </c>
      <c r="H74" s="16" t="s">
        <v>38</v>
      </c>
      <c r="I74" s="16" t="s">
        <v>38</v>
      </c>
      <c r="J74" s="16" t="s">
        <v>38</v>
      </c>
      <c r="K74" s="16" t="s">
        <v>38</v>
      </c>
      <c r="L74" s="16" t="s">
        <v>38</v>
      </c>
      <c r="M74" s="16" t="s">
        <v>38</v>
      </c>
      <c r="N74" s="16" t="s">
        <v>38</v>
      </c>
      <c r="O74" s="16">
        <v>0.32</v>
      </c>
      <c r="P74" s="16">
        <v>0.307</v>
      </c>
      <c r="Q74" s="16" t="s">
        <v>38</v>
      </c>
      <c r="R74" s="16">
        <v>0.36499999999999999</v>
      </c>
      <c r="S74" s="16">
        <v>0.35099999999999998</v>
      </c>
      <c r="T74" s="16" t="s">
        <v>38</v>
      </c>
      <c r="U74" s="16">
        <v>0.34899999999999998</v>
      </c>
      <c r="V74" s="16">
        <v>0.33600000000000002</v>
      </c>
      <c r="W74" s="16" t="s">
        <v>38</v>
      </c>
      <c r="X74" s="16">
        <v>0.32200000000000001</v>
      </c>
      <c r="Y74" s="16">
        <v>0.32400000000000001</v>
      </c>
      <c r="Z74" s="16" t="s">
        <v>38</v>
      </c>
      <c r="AA74" s="16">
        <v>0.25</v>
      </c>
      <c r="AB74" s="16">
        <v>0.222</v>
      </c>
      <c r="AC74" s="16">
        <v>0.22900000000000001</v>
      </c>
      <c r="AD74" s="16" t="s">
        <v>38</v>
      </c>
      <c r="AE74" s="16" t="s">
        <v>38</v>
      </c>
      <c r="AF74" s="16">
        <v>0.20599999999999999</v>
      </c>
      <c r="AG74" s="16">
        <v>0.21</v>
      </c>
      <c r="AH74" s="16">
        <v>0.23699999999999999</v>
      </c>
    </row>
    <row r="75" spans="1:34">
      <c r="A75" s="29" t="s">
        <v>24</v>
      </c>
      <c r="B75" s="82">
        <v>254463.46215599999</v>
      </c>
      <c r="C75" s="82">
        <v>4505623.0080000004</v>
      </c>
      <c r="D75" s="16" t="s">
        <v>38</v>
      </c>
      <c r="E75" s="16" t="s">
        <v>38</v>
      </c>
      <c r="F75" s="16" t="s">
        <v>38</v>
      </c>
      <c r="G75" s="16" t="s">
        <v>38</v>
      </c>
      <c r="H75" s="16" t="s">
        <v>38</v>
      </c>
      <c r="I75" s="16" t="s">
        <v>38</v>
      </c>
      <c r="J75" s="16" t="s">
        <v>38</v>
      </c>
      <c r="K75" s="16" t="s">
        <v>38</v>
      </c>
      <c r="L75" s="16" t="s">
        <v>38</v>
      </c>
      <c r="M75" s="16" t="s">
        <v>38</v>
      </c>
      <c r="N75" s="16" t="s">
        <v>38</v>
      </c>
      <c r="O75" s="16">
        <v>0.33500000000000002</v>
      </c>
      <c r="P75" s="16">
        <v>0.34100000000000003</v>
      </c>
      <c r="Q75" s="16" t="s">
        <v>38</v>
      </c>
      <c r="R75" s="16">
        <v>0.38500000000000001</v>
      </c>
      <c r="S75" s="16">
        <v>0.32900000000000001</v>
      </c>
      <c r="T75" s="16" t="s">
        <v>38</v>
      </c>
      <c r="U75" s="16">
        <v>0.318</v>
      </c>
      <c r="V75" s="16">
        <v>0.316</v>
      </c>
      <c r="W75" s="16" t="s">
        <v>38</v>
      </c>
      <c r="X75" s="16">
        <v>0.33600000000000002</v>
      </c>
      <c r="Y75" s="16">
        <v>0.32</v>
      </c>
      <c r="Z75" s="16" t="s">
        <v>38</v>
      </c>
      <c r="AA75" s="16">
        <v>0.25600000000000001</v>
      </c>
      <c r="AB75" s="16">
        <v>0.22500000000000001</v>
      </c>
      <c r="AC75" s="16">
        <v>0.221</v>
      </c>
      <c r="AD75" s="16" t="s">
        <v>38</v>
      </c>
      <c r="AE75" s="16" t="s">
        <v>38</v>
      </c>
      <c r="AF75" s="16">
        <v>0.21</v>
      </c>
      <c r="AG75" s="16">
        <v>0.23200000000000001</v>
      </c>
      <c r="AH75" s="16">
        <v>0.29599999999999999</v>
      </c>
    </row>
    <row r="76" spans="1:34">
      <c r="A76" s="29" t="s">
        <v>25</v>
      </c>
      <c r="B76" s="82">
        <v>254463.55436400001</v>
      </c>
      <c r="C76" s="82">
        <v>4505624.7253999999</v>
      </c>
      <c r="D76" s="16" t="s">
        <v>38</v>
      </c>
      <c r="E76" s="16" t="s">
        <v>38</v>
      </c>
      <c r="F76" s="16" t="s">
        <v>38</v>
      </c>
      <c r="G76" s="16" t="s">
        <v>38</v>
      </c>
      <c r="H76" s="16" t="s">
        <v>38</v>
      </c>
      <c r="I76" s="16" t="s">
        <v>38</v>
      </c>
      <c r="J76" s="16" t="s">
        <v>38</v>
      </c>
      <c r="K76" s="16" t="s">
        <v>38</v>
      </c>
      <c r="L76" s="16" t="s">
        <v>38</v>
      </c>
      <c r="M76" s="16" t="s">
        <v>38</v>
      </c>
      <c r="N76" s="16" t="s">
        <v>38</v>
      </c>
      <c r="O76" s="16">
        <v>0.33900000000000002</v>
      </c>
      <c r="P76" s="16">
        <v>0.35</v>
      </c>
      <c r="Q76" s="16" t="s">
        <v>38</v>
      </c>
      <c r="R76" s="16">
        <v>0.38400000000000001</v>
      </c>
      <c r="S76" s="16">
        <v>0.379</v>
      </c>
      <c r="T76" s="16" t="s">
        <v>38</v>
      </c>
      <c r="U76" s="16">
        <v>0.38200000000000001</v>
      </c>
      <c r="V76" s="16">
        <v>0.36299999999999999</v>
      </c>
      <c r="W76" s="16" t="s">
        <v>38</v>
      </c>
      <c r="X76" s="16">
        <v>0.36199999999999999</v>
      </c>
      <c r="Y76" s="16">
        <v>0.35799999999999998</v>
      </c>
      <c r="Z76" s="16" t="s">
        <v>38</v>
      </c>
      <c r="AA76" s="16">
        <v>0.28299999999999997</v>
      </c>
      <c r="AB76" s="16">
        <v>0.24199999999999999</v>
      </c>
      <c r="AC76" s="16">
        <v>0.24199999999999999</v>
      </c>
      <c r="AD76" s="16" t="s">
        <v>38</v>
      </c>
      <c r="AE76" s="16" t="s">
        <v>38</v>
      </c>
      <c r="AF76" s="16">
        <v>0.23200000000000001</v>
      </c>
      <c r="AG76" s="16" t="s">
        <v>38</v>
      </c>
      <c r="AH76" s="16">
        <v>0.33</v>
      </c>
    </row>
    <row r="77" spans="1:34">
      <c r="A77" s="29">
        <v>56</v>
      </c>
      <c r="B77" s="82">
        <v>254461.96097399999</v>
      </c>
      <c r="C77" s="82">
        <v>4505643.9971200004</v>
      </c>
      <c r="D77" s="16" t="s">
        <v>38</v>
      </c>
      <c r="E77" s="16" t="s">
        <v>38</v>
      </c>
      <c r="F77" s="16" t="s">
        <v>38</v>
      </c>
      <c r="G77" s="16" t="s">
        <v>38</v>
      </c>
      <c r="H77" s="16" t="s">
        <v>38</v>
      </c>
      <c r="I77" s="16" t="s">
        <v>38</v>
      </c>
      <c r="J77" s="16" t="s">
        <v>38</v>
      </c>
      <c r="K77" s="16" t="s">
        <v>38</v>
      </c>
      <c r="L77" s="16" t="s">
        <v>38</v>
      </c>
      <c r="M77" s="16" t="s">
        <v>38</v>
      </c>
      <c r="N77" s="16" t="s">
        <v>38</v>
      </c>
      <c r="O77" s="16" t="s">
        <v>38</v>
      </c>
      <c r="P77" s="16" t="s">
        <v>38</v>
      </c>
      <c r="Q77" s="16" t="s">
        <v>38</v>
      </c>
      <c r="R77" s="16" t="s">
        <v>38</v>
      </c>
      <c r="S77" s="16" t="s">
        <v>38</v>
      </c>
      <c r="T77" s="16" t="s">
        <v>38</v>
      </c>
      <c r="U77" s="16" t="s">
        <v>38</v>
      </c>
      <c r="V77" s="16" t="s">
        <v>38</v>
      </c>
      <c r="W77" s="16" t="s">
        <v>38</v>
      </c>
      <c r="X77" s="16" t="s">
        <v>38</v>
      </c>
      <c r="Y77" s="16" t="s">
        <v>38</v>
      </c>
      <c r="Z77" s="16" t="s">
        <v>38</v>
      </c>
      <c r="AA77" s="16" t="s">
        <v>38</v>
      </c>
      <c r="AB77" s="16" t="s">
        <v>38</v>
      </c>
      <c r="AC77" s="16" t="s">
        <v>38</v>
      </c>
      <c r="AD77" s="16" t="s">
        <v>38</v>
      </c>
      <c r="AE77" s="16" t="s">
        <v>38</v>
      </c>
      <c r="AF77" s="16" t="s">
        <v>38</v>
      </c>
      <c r="AG77" s="16" t="s">
        <v>38</v>
      </c>
      <c r="AH77" s="16" t="s">
        <v>38</v>
      </c>
    </row>
    <row r="78" spans="1:34">
      <c r="A78" s="29">
        <v>57</v>
      </c>
      <c r="B78" s="83">
        <v>254450.62839500001</v>
      </c>
      <c r="C78" s="83">
        <v>4505644.3176199999</v>
      </c>
      <c r="D78" s="16" t="s">
        <v>38</v>
      </c>
      <c r="E78" s="16" t="s">
        <v>38</v>
      </c>
      <c r="F78" s="16" t="s">
        <v>38</v>
      </c>
      <c r="G78" s="16" t="s">
        <v>38</v>
      </c>
      <c r="H78" s="16" t="s">
        <v>38</v>
      </c>
      <c r="I78" s="16" t="s">
        <v>38</v>
      </c>
      <c r="J78" s="16" t="s">
        <v>38</v>
      </c>
      <c r="K78" s="16" t="s">
        <v>38</v>
      </c>
      <c r="L78" s="16" t="s">
        <v>38</v>
      </c>
      <c r="M78" s="16" t="s">
        <v>38</v>
      </c>
      <c r="N78" s="16" t="s">
        <v>38</v>
      </c>
      <c r="O78" s="16" t="s">
        <v>38</v>
      </c>
      <c r="P78" s="16" t="s">
        <v>38</v>
      </c>
      <c r="Q78" s="16" t="s">
        <v>38</v>
      </c>
      <c r="R78" s="16" t="s">
        <v>38</v>
      </c>
      <c r="S78" s="16" t="s">
        <v>38</v>
      </c>
      <c r="T78" s="16" t="s">
        <v>38</v>
      </c>
      <c r="U78" s="16" t="s">
        <v>38</v>
      </c>
      <c r="V78" s="16" t="s">
        <v>38</v>
      </c>
      <c r="W78" s="16" t="s">
        <v>38</v>
      </c>
      <c r="X78" s="16" t="s">
        <v>38</v>
      </c>
      <c r="Y78" s="16" t="s">
        <v>38</v>
      </c>
      <c r="Z78" s="16" t="s">
        <v>38</v>
      </c>
      <c r="AA78" s="16" t="s">
        <v>38</v>
      </c>
      <c r="AB78" s="16" t="s">
        <v>38</v>
      </c>
      <c r="AC78" s="16" t="s">
        <v>38</v>
      </c>
      <c r="AD78" s="16" t="s">
        <v>38</v>
      </c>
      <c r="AE78" s="16" t="s">
        <v>38</v>
      </c>
      <c r="AF78" s="16" t="s">
        <v>38</v>
      </c>
      <c r="AG78" s="16" t="s">
        <v>38</v>
      </c>
      <c r="AH78" s="16" t="s">
        <v>38</v>
      </c>
    </row>
    <row r="79" spans="1:34">
      <c r="A79" s="29">
        <v>58</v>
      </c>
      <c r="B79" s="83">
        <v>254478.967924</v>
      </c>
      <c r="C79" s="83">
        <v>4505639.2194499997</v>
      </c>
      <c r="D79" s="16" t="s">
        <v>38</v>
      </c>
      <c r="E79" s="16" t="s">
        <v>38</v>
      </c>
      <c r="F79" s="16" t="s">
        <v>38</v>
      </c>
      <c r="G79" s="16" t="s">
        <v>38</v>
      </c>
      <c r="H79" s="16" t="s">
        <v>38</v>
      </c>
      <c r="I79" s="16" t="s">
        <v>38</v>
      </c>
      <c r="J79" s="16" t="s">
        <v>38</v>
      </c>
      <c r="K79" s="16" t="s">
        <v>38</v>
      </c>
      <c r="L79" s="16" t="s">
        <v>38</v>
      </c>
      <c r="M79" s="16" t="s">
        <v>38</v>
      </c>
      <c r="N79" s="16" t="s">
        <v>38</v>
      </c>
      <c r="O79" s="16" t="s">
        <v>38</v>
      </c>
      <c r="P79" s="16" t="s">
        <v>38</v>
      </c>
      <c r="Q79" s="16" t="s">
        <v>38</v>
      </c>
      <c r="R79" s="16" t="s">
        <v>38</v>
      </c>
      <c r="S79" s="16" t="s">
        <v>38</v>
      </c>
      <c r="T79" s="16" t="s">
        <v>38</v>
      </c>
      <c r="U79" s="16" t="s">
        <v>38</v>
      </c>
      <c r="V79" s="16" t="s">
        <v>38</v>
      </c>
      <c r="W79" s="16" t="s">
        <v>38</v>
      </c>
      <c r="X79" s="16" t="s">
        <v>38</v>
      </c>
      <c r="Y79" s="16" t="s">
        <v>38</v>
      </c>
      <c r="Z79" s="16" t="s">
        <v>38</v>
      </c>
      <c r="AA79" s="16" t="s">
        <v>38</v>
      </c>
      <c r="AB79" s="16" t="s">
        <v>38</v>
      </c>
      <c r="AC79" s="16" t="s">
        <v>38</v>
      </c>
      <c r="AD79" s="16" t="s">
        <v>38</v>
      </c>
      <c r="AE79" s="16" t="s">
        <v>38</v>
      </c>
      <c r="AF79" s="16" t="s">
        <v>38</v>
      </c>
      <c r="AG79" s="16" t="s">
        <v>38</v>
      </c>
      <c r="AH79" s="16" t="s">
        <v>38</v>
      </c>
    </row>
    <row r="80" spans="1:34">
      <c r="A80" s="29">
        <v>59</v>
      </c>
      <c r="B80" s="83">
        <v>254508.20847300001</v>
      </c>
      <c r="C80" s="83">
        <v>4505675.6492100004</v>
      </c>
      <c r="D80" s="16" t="s">
        <v>38</v>
      </c>
      <c r="E80" s="16" t="s">
        <v>38</v>
      </c>
      <c r="F80" s="16" t="s">
        <v>38</v>
      </c>
      <c r="G80" s="16" t="s">
        <v>38</v>
      </c>
      <c r="H80" s="16" t="s">
        <v>38</v>
      </c>
      <c r="I80" s="16" t="s">
        <v>38</v>
      </c>
      <c r="J80" s="16" t="s">
        <v>38</v>
      </c>
      <c r="K80" s="16" t="s">
        <v>38</v>
      </c>
      <c r="L80" s="16" t="s">
        <v>38</v>
      </c>
      <c r="M80" s="16" t="s">
        <v>38</v>
      </c>
      <c r="N80" s="16" t="s">
        <v>38</v>
      </c>
      <c r="O80" s="16" t="s">
        <v>38</v>
      </c>
      <c r="P80" s="16" t="s">
        <v>38</v>
      </c>
      <c r="Q80" s="16" t="s">
        <v>38</v>
      </c>
      <c r="R80" s="16" t="s">
        <v>38</v>
      </c>
      <c r="S80" s="16" t="s">
        <v>38</v>
      </c>
      <c r="T80" s="16" t="s">
        <v>38</v>
      </c>
      <c r="U80" s="16" t="s">
        <v>38</v>
      </c>
      <c r="V80" s="16" t="s">
        <v>38</v>
      </c>
      <c r="W80" s="16" t="s">
        <v>38</v>
      </c>
      <c r="X80" s="16" t="s">
        <v>38</v>
      </c>
      <c r="Y80" s="16" t="s">
        <v>38</v>
      </c>
      <c r="Z80" s="16" t="s">
        <v>38</v>
      </c>
      <c r="AA80" s="16" t="s">
        <v>38</v>
      </c>
      <c r="AB80" s="16" t="s">
        <v>38</v>
      </c>
      <c r="AC80" s="16" t="s">
        <v>38</v>
      </c>
      <c r="AD80" s="16" t="s">
        <v>38</v>
      </c>
      <c r="AE80" s="16" t="s">
        <v>38</v>
      </c>
      <c r="AF80" s="16" t="s">
        <v>38</v>
      </c>
      <c r="AG80" s="16" t="s">
        <v>38</v>
      </c>
      <c r="AH80" s="16" t="s">
        <v>38</v>
      </c>
    </row>
    <row r="81" spans="1:34">
      <c r="A81" s="29">
        <v>60</v>
      </c>
      <c r="B81" s="82">
        <v>254489.42741900001</v>
      </c>
      <c r="C81" s="82">
        <v>4505627.2146600001</v>
      </c>
      <c r="D81" s="16" t="s">
        <v>38</v>
      </c>
      <c r="E81" s="16" t="s">
        <v>38</v>
      </c>
      <c r="F81" s="16" t="s">
        <v>38</v>
      </c>
      <c r="G81" s="16" t="s">
        <v>38</v>
      </c>
      <c r="H81" s="16" t="s">
        <v>38</v>
      </c>
      <c r="I81" s="16" t="s">
        <v>38</v>
      </c>
      <c r="J81" s="16" t="s">
        <v>38</v>
      </c>
      <c r="K81" s="16" t="s">
        <v>38</v>
      </c>
      <c r="L81" s="16" t="s">
        <v>38</v>
      </c>
      <c r="M81" s="16" t="s">
        <v>38</v>
      </c>
      <c r="N81" s="16" t="s">
        <v>38</v>
      </c>
      <c r="O81" s="23">
        <v>0.20300000000000001</v>
      </c>
      <c r="P81" s="23">
        <v>0.193</v>
      </c>
      <c r="Q81" s="23" t="s">
        <v>38</v>
      </c>
      <c r="R81" s="23">
        <v>0.20899999999999999</v>
      </c>
      <c r="S81" s="23">
        <v>0.19400000000000001</v>
      </c>
      <c r="T81" s="23">
        <v>0.17199999999999999</v>
      </c>
      <c r="U81" s="23">
        <v>0.188</v>
      </c>
      <c r="V81" s="23">
        <v>0.20799999999999999</v>
      </c>
      <c r="W81" s="23">
        <v>0.23499999999999999</v>
      </c>
      <c r="X81" s="24">
        <v>0.218</v>
      </c>
      <c r="Y81" s="24">
        <v>0.187</v>
      </c>
      <c r="Z81" s="24">
        <v>0.192</v>
      </c>
      <c r="AA81" s="24">
        <v>0.157</v>
      </c>
      <c r="AB81" s="24">
        <v>0.155</v>
      </c>
      <c r="AC81" s="24">
        <v>0.14199999999999999</v>
      </c>
      <c r="AD81" s="24">
        <v>0.13900000000000001</v>
      </c>
      <c r="AE81" s="24">
        <v>0.126</v>
      </c>
      <c r="AF81" s="24">
        <v>0.14299999999999999</v>
      </c>
      <c r="AG81" s="24">
        <v>0.21299999999999999</v>
      </c>
      <c r="AH81" s="24">
        <v>0.20899999999999999</v>
      </c>
    </row>
    <row r="82" spans="1:34">
      <c r="A82" s="29" t="s">
        <v>26</v>
      </c>
      <c r="B82" s="82">
        <v>254490.50914000001</v>
      </c>
      <c r="C82" s="82">
        <v>4505628.04213</v>
      </c>
      <c r="D82" s="16" t="s">
        <v>38</v>
      </c>
      <c r="E82" s="16" t="s">
        <v>38</v>
      </c>
      <c r="F82" s="16" t="s">
        <v>38</v>
      </c>
      <c r="G82" s="16" t="s">
        <v>38</v>
      </c>
      <c r="H82" s="16" t="s">
        <v>38</v>
      </c>
      <c r="I82" s="16" t="s">
        <v>38</v>
      </c>
      <c r="J82" s="16" t="s">
        <v>38</v>
      </c>
      <c r="K82" s="16" t="s">
        <v>38</v>
      </c>
      <c r="L82" s="16" t="s">
        <v>38</v>
      </c>
      <c r="M82" s="16" t="s">
        <v>38</v>
      </c>
      <c r="N82" s="16" t="s">
        <v>38</v>
      </c>
      <c r="O82" s="16" t="s">
        <v>38</v>
      </c>
      <c r="P82" s="16" t="s">
        <v>38</v>
      </c>
      <c r="Q82" s="16" t="s">
        <v>38</v>
      </c>
      <c r="R82" s="16" t="s">
        <v>38</v>
      </c>
      <c r="S82" s="16">
        <v>0.247</v>
      </c>
      <c r="T82" s="16" t="s">
        <v>38</v>
      </c>
      <c r="U82" s="16" t="s">
        <v>38</v>
      </c>
      <c r="V82" s="16" t="s">
        <v>38</v>
      </c>
      <c r="W82" s="16" t="s">
        <v>38</v>
      </c>
      <c r="X82" s="16" t="s">
        <v>38</v>
      </c>
      <c r="Y82" s="16">
        <v>0.23699999999999999</v>
      </c>
      <c r="Z82" s="16" t="s">
        <v>38</v>
      </c>
      <c r="AA82" s="16">
        <v>0.19</v>
      </c>
      <c r="AB82" s="16">
        <v>0.21199999999999999</v>
      </c>
      <c r="AC82" s="16">
        <v>0.14899999999999999</v>
      </c>
      <c r="AD82" s="16" t="s">
        <v>38</v>
      </c>
      <c r="AE82" s="16" t="s">
        <v>38</v>
      </c>
      <c r="AF82" s="16">
        <v>0.13</v>
      </c>
      <c r="AG82" s="16">
        <v>0.38200000000000001</v>
      </c>
      <c r="AH82" s="16" t="s">
        <v>38</v>
      </c>
    </row>
    <row r="83" spans="1:34">
      <c r="A83" s="29" t="s">
        <v>27</v>
      </c>
      <c r="B83" s="82">
        <v>254490.34821900001</v>
      </c>
      <c r="C83" s="82">
        <v>4505626.1343099996</v>
      </c>
      <c r="D83" s="16" t="s">
        <v>38</v>
      </c>
      <c r="E83" s="16" t="s">
        <v>38</v>
      </c>
      <c r="F83" s="16" t="s">
        <v>38</v>
      </c>
      <c r="G83" s="16" t="s">
        <v>38</v>
      </c>
      <c r="H83" s="16" t="s">
        <v>38</v>
      </c>
      <c r="I83" s="16" t="s">
        <v>38</v>
      </c>
      <c r="J83" s="16" t="s">
        <v>38</v>
      </c>
      <c r="K83" s="16" t="s">
        <v>38</v>
      </c>
      <c r="L83" s="16" t="s">
        <v>38</v>
      </c>
      <c r="M83" s="16" t="s">
        <v>38</v>
      </c>
      <c r="N83" s="16" t="s">
        <v>38</v>
      </c>
      <c r="O83" s="24">
        <v>0.24</v>
      </c>
      <c r="P83" s="24">
        <v>0.253</v>
      </c>
      <c r="Q83" s="23" t="s">
        <v>38</v>
      </c>
      <c r="R83" s="23">
        <v>0.27700000000000002</v>
      </c>
      <c r="S83" s="16">
        <v>0.24299999999999999</v>
      </c>
      <c r="T83" s="24" t="s">
        <v>38</v>
      </c>
      <c r="U83" s="23">
        <v>0.24399999999999999</v>
      </c>
      <c r="V83" s="24">
        <v>0.25700000000000001</v>
      </c>
      <c r="W83" s="23" t="s">
        <v>38</v>
      </c>
      <c r="X83" s="16">
        <v>0.255</v>
      </c>
      <c r="Y83" s="16">
        <v>0.22800000000000001</v>
      </c>
      <c r="Z83" s="23" t="s">
        <v>38</v>
      </c>
      <c r="AA83" s="16">
        <v>0.18</v>
      </c>
      <c r="AB83" s="16">
        <v>0.16300000000000001</v>
      </c>
      <c r="AC83" s="16">
        <v>0.16900000000000001</v>
      </c>
      <c r="AD83" s="23" t="s">
        <v>38</v>
      </c>
      <c r="AE83" s="23" t="s">
        <v>38</v>
      </c>
      <c r="AF83" s="23" t="s">
        <v>38</v>
      </c>
      <c r="AG83" s="16">
        <v>0.129</v>
      </c>
      <c r="AH83" s="24">
        <v>0.31</v>
      </c>
    </row>
    <row r="84" spans="1:34">
      <c r="A84" s="29" t="s">
        <v>28</v>
      </c>
      <c r="B84" s="82">
        <v>254488.395021</v>
      </c>
      <c r="C84" s="82">
        <v>4505626.3354900004</v>
      </c>
      <c r="D84" s="16" t="s">
        <v>38</v>
      </c>
      <c r="E84" s="16" t="s">
        <v>38</v>
      </c>
      <c r="F84" s="16" t="s">
        <v>38</v>
      </c>
      <c r="G84" s="16" t="s">
        <v>38</v>
      </c>
      <c r="H84" s="16" t="s">
        <v>38</v>
      </c>
      <c r="I84" s="16" t="s">
        <v>38</v>
      </c>
      <c r="J84" s="16" t="s">
        <v>38</v>
      </c>
      <c r="K84" s="16" t="s">
        <v>38</v>
      </c>
      <c r="L84" s="16" t="s">
        <v>38</v>
      </c>
      <c r="M84" s="16" t="s">
        <v>38</v>
      </c>
      <c r="N84" s="16" t="s">
        <v>38</v>
      </c>
      <c r="O84" s="16">
        <v>0.28100000000000003</v>
      </c>
      <c r="P84" s="16">
        <v>0.26700000000000002</v>
      </c>
      <c r="Q84" s="23" t="s">
        <v>38</v>
      </c>
      <c r="R84" s="16">
        <v>0.28199999999999997</v>
      </c>
      <c r="S84" s="16">
        <v>0.26</v>
      </c>
      <c r="T84" s="24" t="s">
        <v>38</v>
      </c>
      <c r="U84" s="16">
        <v>0.26900000000000002</v>
      </c>
      <c r="V84" s="16">
        <v>0.27</v>
      </c>
      <c r="W84" s="23" t="s">
        <v>38</v>
      </c>
      <c r="X84" s="16">
        <v>0.254</v>
      </c>
      <c r="Y84" s="16">
        <v>0.249</v>
      </c>
      <c r="Z84" s="23" t="s">
        <v>38</v>
      </c>
      <c r="AA84" s="16">
        <v>0.182</v>
      </c>
      <c r="AB84" s="16">
        <v>0.184</v>
      </c>
      <c r="AC84" s="16">
        <v>0.14699999999999999</v>
      </c>
      <c r="AD84" s="23" t="s">
        <v>38</v>
      </c>
      <c r="AE84" s="23" t="s">
        <v>38</v>
      </c>
      <c r="AF84" s="16">
        <v>0.129</v>
      </c>
      <c r="AG84" s="16" t="s">
        <v>38</v>
      </c>
      <c r="AH84" s="16" t="s">
        <v>38</v>
      </c>
    </row>
    <row r="85" spans="1:34">
      <c r="A85" s="29" t="s">
        <v>29</v>
      </c>
      <c r="B85" s="82">
        <v>254488.63037900001</v>
      </c>
      <c r="C85" s="82">
        <v>4505628.1816299995</v>
      </c>
      <c r="D85" s="16" t="s">
        <v>38</v>
      </c>
      <c r="E85" s="16" t="s">
        <v>38</v>
      </c>
      <c r="F85" s="16" t="s">
        <v>38</v>
      </c>
      <c r="G85" s="16" t="s">
        <v>38</v>
      </c>
      <c r="H85" s="16" t="s">
        <v>38</v>
      </c>
      <c r="I85" s="16" t="s">
        <v>38</v>
      </c>
      <c r="J85" s="16" t="s">
        <v>38</v>
      </c>
      <c r="K85" s="16" t="s">
        <v>38</v>
      </c>
      <c r="L85" s="16" t="s">
        <v>38</v>
      </c>
      <c r="M85" s="16" t="s">
        <v>38</v>
      </c>
      <c r="N85" s="16" t="s">
        <v>38</v>
      </c>
      <c r="O85" s="16">
        <v>0.27800000000000002</v>
      </c>
      <c r="P85" s="16">
        <v>0.25</v>
      </c>
      <c r="Q85" s="23" t="s">
        <v>38</v>
      </c>
      <c r="R85" s="16">
        <v>0.26700000000000002</v>
      </c>
      <c r="S85" s="16">
        <v>0.23699999999999999</v>
      </c>
      <c r="T85" s="24" t="s">
        <v>38</v>
      </c>
      <c r="U85" s="16">
        <v>0.25</v>
      </c>
      <c r="V85" s="16">
        <v>0.253</v>
      </c>
      <c r="W85" s="23" t="s">
        <v>38</v>
      </c>
      <c r="X85" s="16">
        <v>0.245</v>
      </c>
      <c r="Y85" s="16">
        <v>0.24399999999999999</v>
      </c>
      <c r="Z85" s="23" t="s">
        <v>38</v>
      </c>
      <c r="AA85" s="16">
        <v>0.20499999999999999</v>
      </c>
      <c r="AB85" s="16">
        <v>0.14799999999999999</v>
      </c>
      <c r="AC85" s="16">
        <v>0.14399999999999999</v>
      </c>
      <c r="AD85" s="23" t="s">
        <v>38</v>
      </c>
      <c r="AE85" s="23" t="s">
        <v>38</v>
      </c>
      <c r="AF85" s="16" t="s">
        <v>38</v>
      </c>
      <c r="AG85" s="16">
        <v>0.191</v>
      </c>
      <c r="AH85" s="16" t="s">
        <v>38</v>
      </c>
    </row>
    <row r="86" spans="1:34">
      <c r="A86" s="29">
        <v>61</v>
      </c>
      <c r="B86" s="82">
        <v>254539.52779299999</v>
      </c>
      <c r="C86" s="82">
        <v>4505618.9177599996</v>
      </c>
      <c r="D86" s="16" t="s">
        <v>38</v>
      </c>
      <c r="E86" s="16" t="s">
        <v>38</v>
      </c>
      <c r="F86" s="16" t="s">
        <v>38</v>
      </c>
      <c r="G86" s="16" t="s">
        <v>38</v>
      </c>
      <c r="H86" s="16" t="s">
        <v>38</v>
      </c>
      <c r="I86" s="16" t="s">
        <v>38</v>
      </c>
      <c r="J86" s="16" t="s">
        <v>38</v>
      </c>
      <c r="K86" s="16" t="s">
        <v>38</v>
      </c>
      <c r="L86" s="16" t="s">
        <v>38</v>
      </c>
      <c r="M86" s="16" t="s">
        <v>38</v>
      </c>
      <c r="N86" s="16" t="s">
        <v>38</v>
      </c>
      <c r="O86" s="16">
        <v>0.23200000000000001</v>
      </c>
      <c r="P86" s="16">
        <v>0.252</v>
      </c>
      <c r="Q86" s="16">
        <v>0.254</v>
      </c>
      <c r="R86" s="16">
        <v>0.27300000000000002</v>
      </c>
      <c r="S86" s="16">
        <v>0.25</v>
      </c>
      <c r="T86" s="16">
        <v>0.28399999999999997</v>
      </c>
      <c r="U86" s="16">
        <v>0.27600000000000002</v>
      </c>
      <c r="V86" s="16">
        <v>0.28899999999999998</v>
      </c>
      <c r="W86" s="16">
        <v>0.37</v>
      </c>
      <c r="X86" s="16">
        <v>0.29099999999999998</v>
      </c>
      <c r="Y86" s="16">
        <v>0.26700000000000002</v>
      </c>
      <c r="Z86" s="16">
        <v>0.251</v>
      </c>
      <c r="AA86" s="16">
        <v>0.22500000000000001</v>
      </c>
      <c r="AB86" s="16">
        <v>0.21199999999999999</v>
      </c>
      <c r="AC86" s="16">
        <v>0.19400000000000001</v>
      </c>
      <c r="AD86" s="16">
        <v>0.22500000000000001</v>
      </c>
      <c r="AE86" s="16">
        <v>0.20300000000000001</v>
      </c>
      <c r="AF86" s="16">
        <v>0.191</v>
      </c>
      <c r="AG86" s="16">
        <v>0.19400000000000001</v>
      </c>
      <c r="AH86" s="16">
        <v>0.25800000000000001</v>
      </c>
    </row>
    <row r="87" spans="1:34">
      <c r="A87" s="29" t="s">
        <v>30</v>
      </c>
      <c r="B87" s="82">
        <v>254540.82258800001</v>
      </c>
      <c r="C87" s="82">
        <v>4505618.2169500003</v>
      </c>
      <c r="D87" s="16" t="s">
        <v>38</v>
      </c>
      <c r="E87" s="16" t="s">
        <v>38</v>
      </c>
      <c r="F87" s="16" t="s">
        <v>38</v>
      </c>
      <c r="G87" s="16" t="s">
        <v>38</v>
      </c>
      <c r="H87" s="16" t="s">
        <v>38</v>
      </c>
      <c r="I87" s="16" t="s">
        <v>38</v>
      </c>
      <c r="J87" s="16" t="s">
        <v>38</v>
      </c>
      <c r="K87" s="16" t="s">
        <v>38</v>
      </c>
      <c r="L87" s="16" t="s">
        <v>38</v>
      </c>
      <c r="M87" s="16" t="s">
        <v>38</v>
      </c>
      <c r="N87" s="16" t="s">
        <v>38</v>
      </c>
      <c r="O87" s="16">
        <v>0.29799999999999999</v>
      </c>
      <c r="P87" s="16">
        <v>0.29499999999999998</v>
      </c>
      <c r="Q87" s="16">
        <v>0.309</v>
      </c>
      <c r="R87" s="16">
        <v>0.32800000000000001</v>
      </c>
      <c r="S87" s="16">
        <v>0.28999999999999998</v>
      </c>
      <c r="T87" s="16" t="s">
        <v>38</v>
      </c>
      <c r="U87" s="16">
        <v>0.29199999999999998</v>
      </c>
      <c r="V87" s="16">
        <v>0.28699999999999998</v>
      </c>
      <c r="W87" s="16">
        <v>0.33</v>
      </c>
      <c r="X87" s="16">
        <v>0.28399999999999997</v>
      </c>
      <c r="Y87" s="16">
        <v>0.27400000000000002</v>
      </c>
      <c r="Z87" s="16" t="s">
        <v>38</v>
      </c>
      <c r="AA87" s="16">
        <v>0.23599999999999999</v>
      </c>
      <c r="AB87" s="16">
        <v>0.20399999999999999</v>
      </c>
      <c r="AC87" s="16">
        <v>0.19800000000000001</v>
      </c>
      <c r="AD87" s="16" t="s">
        <v>38</v>
      </c>
      <c r="AE87" s="16" t="s">
        <v>38</v>
      </c>
      <c r="AF87" s="16">
        <v>0.19400000000000001</v>
      </c>
      <c r="AG87" s="16">
        <v>0.19400000000000001</v>
      </c>
      <c r="AH87" s="16">
        <v>0.29399999999999998</v>
      </c>
    </row>
    <row r="88" spans="1:34">
      <c r="A88" s="29" t="s">
        <v>31</v>
      </c>
      <c r="B88" s="82">
        <v>254538.99475700001</v>
      </c>
      <c r="C88" s="82">
        <v>4505617.5153299998</v>
      </c>
      <c r="D88" s="16" t="s">
        <v>38</v>
      </c>
      <c r="E88" s="16" t="s">
        <v>38</v>
      </c>
      <c r="F88" s="16" t="s">
        <v>38</v>
      </c>
      <c r="G88" s="16" t="s">
        <v>38</v>
      </c>
      <c r="H88" s="16" t="s">
        <v>38</v>
      </c>
      <c r="I88" s="16" t="s">
        <v>38</v>
      </c>
      <c r="J88" s="16" t="s">
        <v>38</v>
      </c>
      <c r="K88" s="16" t="s">
        <v>38</v>
      </c>
      <c r="L88" s="16" t="s">
        <v>38</v>
      </c>
      <c r="M88" s="16" t="s">
        <v>38</v>
      </c>
      <c r="N88" s="16" t="s">
        <v>38</v>
      </c>
      <c r="O88" s="16">
        <v>0.29899999999999999</v>
      </c>
      <c r="P88" s="16">
        <v>0.29899999999999999</v>
      </c>
      <c r="Q88" s="16">
        <v>0.30199999999999999</v>
      </c>
      <c r="R88" s="16">
        <v>0.32700000000000001</v>
      </c>
      <c r="S88" s="16">
        <v>0.30099999999999999</v>
      </c>
      <c r="T88" s="16" t="s">
        <v>38</v>
      </c>
      <c r="U88" s="16">
        <v>0.317</v>
      </c>
      <c r="V88" s="16">
        <v>0.30499999999999999</v>
      </c>
      <c r="W88" s="16">
        <v>0.42899999999999999</v>
      </c>
      <c r="X88" s="16">
        <v>0.32</v>
      </c>
      <c r="Y88" s="16">
        <v>0.28599999999999998</v>
      </c>
      <c r="Z88" s="16" t="s">
        <v>38</v>
      </c>
      <c r="AA88" s="16">
        <v>0.249</v>
      </c>
      <c r="AB88" s="16">
        <v>0.25</v>
      </c>
      <c r="AC88" s="16">
        <v>0.20200000000000001</v>
      </c>
      <c r="AD88" s="16" t="s">
        <v>38</v>
      </c>
      <c r="AE88" s="16" t="s">
        <v>38</v>
      </c>
      <c r="AF88" s="16">
        <v>0.19400000000000001</v>
      </c>
      <c r="AG88" s="16">
        <v>0.28299999999999997</v>
      </c>
      <c r="AH88" s="16">
        <v>0.27400000000000002</v>
      </c>
    </row>
    <row r="89" spans="1:34">
      <c r="A89" s="29" t="s">
        <v>32</v>
      </c>
      <c r="B89" s="82">
        <v>254538.198217</v>
      </c>
      <c r="C89" s="82">
        <v>4505619.3421200002</v>
      </c>
      <c r="D89" s="16" t="s">
        <v>38</v>
      </c>
      <c r="E89" s="16" t="s">
        <v>38</v>
      </c>
      <c r="F89" s="16" t="s">
        <v>38</v>
      </c>
      <c r="G89" s="16" t="s">
        <v>38</v>
      </c>
      <c r="H89" s="16" t="s">
        <v>38</v>
      </c>
      <c r="I89" s="16" t="s">
        <v>38</v>
      </c>
      <c r="J89" s="16" t="s">
        <v>38</v>
      </c>
      <c r="K89" s="16" t="s">
        <v>38</v>
      </c>
      <c r="L89" s="16" t="s">
        <v>38</v>
      </c>
      <c r="M89" s="16" t="s">
        <v>38</v>
      </c>
      <c r="N89" s="16" t="s">
        <v>38</v>
      </c>
      <c r="O89" s="16">
        <v>0.45800000000000002</v>
      </c>
      <c r="P89" s="16">
        <v>0.47799999999999998</v>
      </c>
      <c r="Q89" s="16">
        <v>0.44</v>
      </c>
      <c r="R89" s="16">
        <v>0.53700000000000003</v>
      </c>
      <c r="S89" s="16">
        <v>0.45300000000000001</v>
      </c>
      <c r="T89" s="16" t="s">
        <v>38</v>
      </c>
      <c r="U89" s="16">
        <v>0.44</v>
      </c>
      <c r="V89" s="16">
        <v>0.44800000000000001</v>
      </c>
      <c r="W89" s="16">
        <v>0.443</v>
      </c>
      <c r="X89" s="16">
        <v>0.5</v>
      </c>
      <c r="Y89" s="16">
        <v>0.48099999999999998</v>
      </c>
      <c r="Z89" s="16" t="s">
        <v>38</v>
      </c>
      <c r="AA89" s="16">
        <v>0.35099999999999998</v>
      </c>
      <c r="AB89" s="16">
        <v>0.33400000000000002</v>
      </c>
      <c r="AC89" s="16">
        <v>0.28899999999999998</v>
      </c>
      <c r="AD89" s="16" t="s">
        <v>38</v>
      </c>
      <c r="AE89" s="16" t="s">
        <v>38</v>
      </c>
      <c r="AF89" s="16">
        <v>0.28299999999999997</v>
      </c>
      <c r="AG89" s="16">
        <v>0.28000000000000003</v>
      </c>
      <c r="AH89" s="16" t="s">
        <v>38</v>
      </c>
    </row>
    <row r="90" spans="1:34">
      <c r="A90" s="29" t="s">
        <v>33</v>
      </c>
      <c r="B90" s="82">
        <v>254539.991026</v>
      </c>
      <c r="C90" s="82">
        <v>4505620.2901600003</v>
      </c>
      <c r="D90" s="16" t="s">
        <v>38</v>
      </c>
      <c r="E90" s="16" t="s">
        <v>38</v>
      </c>
      <c r="F90" s="16" t="s">
        <v>38</v>
      </c>
      <c r="G90" s="16" t="s">
        <v>38</v>
      </c>
      <c r="H90" s="16" t="s">
        <v>38</v>
      </c>
      <c r="I90" s="16" t="s">
        <v>38</v>
      </c>
      <c r="J90" s="16" t="s">
        <v>38</v>
      </c>
      <c r="K90" s="16" t="s">
        <v>38</v>
      </c>
      <c r="L90" s="16" t="s">
        <v>38</v>
      </c>
      <c r="M90" s="16" t="s">
        <v>38</v>
      </c>
      <c r="N90" s="16" t="s">
        <v>38</v>
      </c>
      <c r="O90" s="16">
        <v>0.42699999999999999</v>
      </c>
      <c r="P90" s="16">
        <v>0.441</v>
      </c>
      <c r="Q90" s="16">
        <v>0.46</v>
      </c>
      <c r="R90" s="16">
        <v>0.58299999999999996</v>
      </c>
      <c r="S90" s="16">
        <v>0.41299999999999998</v>
      </c>
      <c r="T90" s="16" t="s">
        <v>38</v>
      </c>
      <c r="U90" s="16">
        <v>0.46200000000000002</v>
      </c>
      <c r="V90" s="16">
        <v>0.42499999999999999</v>
      </c>
      <c r="W90" s="16">
        <v>0.42699999999999999</v>
      </c>
      <c r="X90" s="16">
        <v>0.49399999999999999</v>
      </c>
      <c r="Y90" s="16">
        <v>0.48</v>
      </c>
      <c r="Z90" s="16" t="s">
        <v>38</v>
      </c>
      <c r="AA90" s="16">
        <v>0.33300000000000002</v>
      </c>
      <c r="AB90" s="16">
        <v>0.29299999999999998</v>
      </c>
      <c r="AC90" s="16">
        <v>0.27</v>
      </c>
      <c r="AD90" s="16" t="s">
        <v>38</v>
      </c>
      <c r="AE90" s="16" t="s">
        <v>38</v>
      </c>
      <c r="AF90" s="16">
        <v>0.28000000000000003</v>
      </c>
      <c r="AG90" s="16">
        <v>0.17299999999999999</v>
      </c>
      <c r="AH90" s="16" t="s">
        <v>38</v>
      </c>
    </row>
    <row r="91" spans="1:34">
      <c r="A91" s="29">
        <v>62</v>
      </c>
      <c r="B91" s="82">
        <v>254529.63870800001</v>
      </c>
      <c r="C91" s="82">
        <v>4505611.6253199996</v>
      </c>
      <c r="D91" s="16" t="s">
        <v>38</v>
      </c>
      <c r="E91" s="16" t="s">
        <v>38</v>
      </c>
      <c r="F91" s="16" t="s">
        <v>38</v>
      </c>
      <c r="G91" s="16" t="s">
        <v>38</v>
      </c>
      <c r="H91" s="16" t="s">
        <v>38</v>
      </c>
      <c r="I91" s="16" t="s">
        <v>38</v>
      </c>
      <c r="J91" s="16" t="s">
        <v>38</v>
      </c>
      <c r="K91" s="16" t="s">
        <v>38</v>
      </c>
      <c r="L91" s="16" t="s">
        <v>38</v>
      </c>
      <c r="M91" s="16" t="s">
        <v>38</v>
      </c>
      <c r="N91" s="16" t="s">
        <v>38</v>
      </c>
      <c r="O91" s="16" t="s">
        <v>38</v>
      </c>
      <c r="P91" s="16" t="s">
        <v>38</v>
      </c>
      <c r="Q91" s="16" t="s">
        <v>38</v>
      </c>
      <c r="R91" s="16" t="s">
        <v>38</v>
      </c>
      <c r="S91" s="16" t="s">
        <v>38</v>
      </c>
      <c r="T91" s="16" t="s">
        <v>38</v>
      </c>
      <c r="U91" s="16" t="s">
        <v>38</v>
      </c>
      <c r="V91" s="16" t="s">
        <v>38</v>
      </c>
      <c r="W91" s="16" t="s">
        <v>38</v>
      </c>
      <c r="X91" s="16" t="s">
        <v>38</v>
      </c>
      <c r="Y91" s="16" t="s">
        <v>38</v>
      </c>
      <c r="Z91" s="16" t="s">
        <v>38</v>
      </c>
      <c r="AA91" s="16" t="s">
        <v>38</v>
      </c>
      <c r="AB91" s="16" t="s">
        <v>38</v>
      </c>
      <c r="AC91" s="16" t="s">
        <v>38</v>
      </c>
      <c r="AD91" s="16" t="s">
        <v>38</v>
      </c>
      <c r="AE91" s="16" t="s">
        <v>38</v>
      </c>
      <c r="AF91" s="16" t="s">
        <v>38</v>
      </c>
      <c r="AG91" s="16" t="s">
        <v>38</v>
      </c>
      <c r="AH91" s="16" t="s">
        <v>38</v>
      </c>
    </row>
    <row r="92" spans="1:34">
      <c r="A92" s="29">
        <v>63</v>
      </c>
      <c r="B92" s="82">
        <v>254551.13957</v>
      </c>
      <c r="C92" s="82">
        <v>4505625.0883400002</v>
      </c>
      <c r="D92" s="16" t="s">
        <v>38</v>
      </c>
      <c r="E92" s="16" t="s">
        <v>38</v>
      </c>
      <c r="F92" s="16" t="s">
        <v>38</v>
      </c>
      <c r="G92" s="16" t="s">
        <v>38</v>
      </c>
      <c r="H92" s="16" t="s">
        <v>38</v>
      </c>
      <c r="I92" s="16" t="s">
        <v>38</v>
      </c>
      <c r="J92" s="16" t="s">
        <v>38</v>
      </c>
      <c r="K92" s="16" t="s">
        <v>38</v>
      </c>
      <c r="L92" s="16" t="s">
        <v>38</v>
      </c>
      <c r="M92" s="16" t="s">
        <v>38</v>
      </c>
      <c r="N92" s="16" t="s">
        <v>38</v>
      </c>
      <c r="O92" s="16" t="s">
        <v>38</v>
      </c>
      <c r="P92" s="16" t="s">
        <v>38</v>
      </c>
      <c r="Q92" s="16" t="s">
        <v>38</v>
      </c>
      <c r="R92" s="16" t="s">
        <v>38</v>
      </c>
      <c r="S92" s="16" t="s">
        <v>38</v>
      </c>
      <c r="T92" s="16" t="s">
        <v>38</v>
      </c>
      <c r="U92" s="16" t="s">
        <v>38</v>
      </c>
      <c r="V92" s="16" t="s">
        <v>38</v>
      </c>
      <c r="W92" s="16" t="s">
        <v>38</v>
      </c>
      <c r="X92" s="16" t="s">
        <v>38</v>
      </c>
      <c r="Y92" s="16" t="s">
        <v>38</v>
      </c>
      <c r="Z92" s="16" t="s">
        <v>38</v>
      </c>
      <c r="AA92" s="16" t="s">
        <v>38</v>
      </c>
      <c r="AB92" s="16" t="s">
        <v>38</v>
      </c>
      <c r="AC92" s="16" t="s">
        <v>38</v>
      </c>
      <c r="AD92" s="16" t="s">
        <v>38</v>
      </c>
      <c r="AE92" s="16" t="s">
        <v>38</v>
      </c>
      <c r="AF92" s="16" t="s">
        <v>38</v>
      </c>
      <c r="AG92" s="16" t="s">
        <v>38</v>
      </c>
      <c r="AH92" s="16" t="s">
        <v>38</v>
      </c>
    </row>
    <row r="93" spans="1:34">
      <c r="A93" s="29">
        <v>64</v>
      </c>
      <c r="B93" s="82">
        <v>254546.275371</v>
      </c>
      <c r="C93" s="82">
        <v>4505618.8425099999</v>
      </c>
      <c r="D93" s="16" t="s">
        <v>38</v>
      </c>
      <c r="E93" s="16" t="s">
        <v>38</v>
      </c>
      <c r="F93" s="16" t="s">
        <v>38</v>
      </c>
      <c r="G93" s="16" t="s">
        <v>38</v>
      </c>
      <c r="H93" s="16" t="s">
        <v>38</v>
      </c>
      <c r="I93" s="16" t="s">
        <v>38</v>
      </c>
      <c r="J93" s="16" t="s">
        <v>38</v>
      </c>
      <c r="K93" s="16" t="s">
        <v>38</v>
      </c>
      <c r="L93" s="16" t="s">
        <v>38</v>
      </c>
      <c r="M93" s="16" t="s">
        <v>38</v>
      </c>
      <c r="N93" s="16" t="s">
        <v>38</v>
      </c>
      <c r="O93" s="16" t="s">
        <v>38</v>
      </c>
      <c r="P93" s="16" t="s">
        <v>38</v>
      </c>
      <c r="Q93" s="16" t="s">
        <v>38</v>
      </c>
      <c r="R93" s="16" t="s">
        <v>38</v>
      </c>
      <c r="S93" s="16" t="s">
        <v>38</v>
      </c>
      <c r="T93" s="16" t="s">
        <v>38</v>
      </c>
      <c r="U93" s="16" t="s">
        <v>38</v>
      </c>
      <c r="V93" s="16" t="s">
        <v>38</v>
      </c>
      <c r="W93" s="16" t="s">
        <v>38</v>
      </c>
      <c r="X93" s="16" t="s">
        <v>38</v>
      </c>
      <c r="Y93" s="16" t="s">
        <v>38</v>
      </c>
      <c r="Z93" s="16" t="s">
        <v>38</v>
      </c>
      <c r="AA93" s="16" t="s">
        <v>38</v>
      </c>
      <c r="AB93" s="16" t="s">
        <v>38</v>
      </c>
      <c r="AC93" s="16" t="s">
        <v>38</v>
      </c>
      <c r="AD93" s="16" t="s">
        <v>38</v>
      </c>
      <c r="AE93" s="16" t="s">
        <v>38</v>
      </c>
      <c r="AF93" s="16" t="s">
        <v>38</v>
      </c>
      <c r="AG93" s="16" t="s">
        <v>38</v>
      </c>
      <c r="AH93" s="16" t="s">
        <v>38</v>
      </c>
    </row>
    <row r="94" spans="1:34">
      <c r="A94" s="29">
        <v>65</v>
      </c>
      <c r="B94" s="82">
        <v>254565.06507300001</v>
      </c>
      <c r="C94" s="82">
        <v>4505658.6095899995</v>
      </c>
      <c r="D94" s="16" t="s">
        <v>38</v>
      </c>
      <c r="E94" s="16" t="s">
        <v>38</v>
      </c>
      <c r="F94" s="16" t="s">
        <v>38</v>
      </c>
      <c r="G94" s="16" t="s">
        <v>38</v>
      </c>
      <c r="H94" s="16" t="s">
        <v>38</v>
      </c>
      <c r="I94" s="16" t="s">
        <v>38</v>
      </c>
      <c r="J94" s="16" t="s">
        <v>38</v>
      </c>
      <c r="K94" s="16" t="s">
        <v>38</v>
      </c>
      <c r="L94" s="16" t="s">
        <v>38</v>
      </c>
      <c r="M94" s="16" t="s">
        <v>38</v>
      </c>
      <c r="N94" s="16" t="s">
        <v>38</v>
      </c>
      <c r="O94" s="16">
        <v>0.25600000000000001</v>
      </c>
      <c r="P94" s="16">
        <v>0.247</v>
      </c>
      <c r="Q94" s="16">
        <v>0.27100000000000002</v>
      </c>
      <c r="R94" s="16">
        <v>0.26400000000000001</v>
      </c>
      <c r="S94" s="16">
        <v>0.25700000000000001</v>
      </c>
      <c r="T94" s="16">
        <v>0.249</v>
      </c>
      <c r="U94" s="16">
        <v>0.26400000000000001</v>
      </c>
      <c r="V94" s="16">
        <v>0.26200000000000001</v>
      </c>
      <c r="W94" s="16">
        <v>0.26900000000000002</v>
      </c>
      <c r="X94" s="16">
        <v>0.35699999999999998</v>
      </c>
      <c r="Y94" s="16">
        <v>0.247</v>
      </c>
      <c r="Z94" s="16">
        <v>0.249</v>
      </c>
      <c r="AA94" s="16">
        <v>0.20699999999999999</v>
      </c>
      <c r="AB94" s="16">
        <v>0.23</v>
      </c>
      <c r="AC94" s="16">
        <v>0.189</v>
      </c>
      <c r="AD94" s="16">
        <v>0.21099999999999999</v>
      </c>
      <c r="AE94" s="16">
        <v>0.184</v>
      </c>
      <c r="AF94" s="16">
        <v>0.17299999999999999</v>
      </c>
      <c r="AG94" s="16">
        <v>0.14899999999999999</v>
      </c>
      <c r="AH94" s="16">
        <v>0.30199999999999999</v>
      </c>
    </row>
    <row r="95" spans="1:34">
      <c r="A95" s="29">
        <v>66</v>
      </c>
      <c r="B95" s="82">
        <v>254555.697189</v>
      </c>
      <c r="C95" s="82">
        <v>4505682.2836199999</v>
      </c>
      <c r="D95" s="16" t="s">
        <v>38</v>
      </c>
      <c r="E95" s="16" t="s">
        <v>38</v>
      </c>
      <c r="F95" s="16" t="s">
        <v>38</v>
      </c>
      <c r="G95" s="16" t="s">
        <v>38</v>
      </c>
      <c r="H95" s="16" t="s">
        <v>38</v>
      </c>
      <c r="I95" s="16" t="s">
        <v>38</v>
      </c>
      <c r="J95" s="16" t="s">
        <v>38</v>
      </c>
      <c r="K95" s="16" t="s">
        <v>38</v>
      </c>
      <c r="L95" s="16" t="s">
        <v>38</v>
      </c>
      <c r="M95" s="16" t="s">
        <v>38</v>
      </c>
      <c r="N95" s="16" t="s">
        <v>38</v>
      </c>
      <c r="O95" s="16" t="s">
        <v>38</v>
      </c>
      <c r="P95" s="16" t="s">
        <v>38</v>
      </c>
      <c r="Q95" s="16" t="s">
        <v>38</v>
      </c>
      <c r="R95" s="16" t="s">
        <v>38</v>
      </c>
      <c r="S95" s="16" t="s">
        <v>38</v>
      </c>
      <c r="T95" s="16" t="s">
        <v>38</v>
      </c>
      <c r="U95" s="16" t="s">
        <v>38</v>
      </c>
      <c r="V95" s="16" t="s">
        <v>38</v>
      </c>
      <c r="W95" s="16" t="s">
        <v>38</v>
      </c>
      <c r="X95" s="16" t="s">
        <v>38</v>
      </c>
      <c r="Y95" s="16" t="s">
        <v>38</v>
      </c>
      <c r="Z95" s="16" t="s">
        <v>38</v>
      </c>
      <c r="AA95" s="16" t="s">
        <v>38</v>
      </c>
      <c r="AB95" s="16" t="s">
        <v>38</v>
      </c>
      <c r="AC95" s="16" t="s">
        <v>38</v>
      </c>
      <c r="AD95" s="16" t="s">
        <v>38</v>
      </c>
      <c r="AE95" s="16" t="s">
        <v>38</v>
      </c>
      <c r="AF95" s="16" t="s">
        <v>38</v>
      </c>
      <c r="AG95" s="16" t="s">
        <v>38</v>
      </c>
      <c r="AH95" s="16" t="s">
        <v>38</v>
      </c>
    </row>
    <row r="96" spans="1:34">
      <c r="A96" s="29">
        <v>67</v>
      </c>
      <c r="B96" s="82">
        <v>254555.67023700001</v>
      </c>
      <c r="C96" s="82">
        <v>4505716.0668700002</v>
      </c>
      <c r="D96" s="16" t="s">
        <v>38</v>
      </c>
      <c r="E96" s="16" t="s">
        <v>38</v>
      </c>
      <c r="F96" s="16" t="s">
        <v>38</v>
      </c>
      <c r="G96" s="16" t="s">
        <v>38</v>
      </c>
      <c r="H96" s="16" t="s">
        <v>38</v>
      </c>
      <c r="I96" s="16" t="s">
        <v>38</v>
      </c>
      <c r="J96" s="16" t="s">
        <v>38</v>
      </c>
      <c r="K96" s="16" t="s">
        <v>38</v>
      </c>
      <c r="L96" s="16" t="s">
        <v>38</v>
      </c>
      <c r="M96" s="16" t="s">
        <v>38</v>
      </c>
      <c r="N96" s="16" t="s">
        <v>38</v>
      </c>
      <c r="O96" s="16">
        <v>0.21099999999999999</v>
      </c>
      <c r="P96" s="16" t="s">
        <v>38</v>
      </c>
      <c r="Q96" s="16">
        <v>0.20799999999999999</v>
      </c>
      <c r="R96" s="16">
        <v>0.20899999999999999</v>
      </c>
      <c r="S96" s="16">
        <v>0.17100000000000001</v>
      </c>
      <c r="T96" s="16">
        <v>0.16700000000000001</v>
      </c>
      <c r="U96" s="16">
        <v>0.182</v>
      </c>
      <c r="V96" s="16">
        <v>0.189</v>
      </c>
      <c r="W96" s="16">
        <v>0.22800000000000001</v>
      </c>
      <c r="X96" s="16">
        <v>0.19900000000000001</v>
      </c>
      <c r="Y96" s="16">
        <v>0.19900000000000001</v>
      </c>
      <c r="Z96" s="16">
        <v>0.19500000000000001</v>
      </c>
      <c r="AA96" s="16">
        <v>0.17799999999999999</v>
      </c>
      <c r="AB96" s="16">
        <v>0.17699999999999999</v>
      </c>
      <c r="AC96" s="16">
        <v>0.156</v>
      </c>
      <c r="AD96" s="16">
        <v>0.161</v>
      </c>
      <c r="AE96" s="16" t="s">
        <v>38</v>
      </c>
      <c r="AF96" s="16">
        <v>0.14899999999999999</v>
      </c>
      <c r="AG96" s="16">
        <v>0.14799999999999999</v>
      </c>
      <c r="AH96" s="16">
        <v>0.23200000000000001</v>
      </c>
    </row>
    <row r="97" spans="1:34">
      <c r="A97" s="29">
        <v>68</v>
      </c>
      <c r="B97" s="82">
        <v>254550.90865100001</v>
      </c>
      <c r="C97" s="82">
        <v>4505648.5313400002</v>
      </c>
      <c r="D97" s="16" t="s">
        <v>38</v>
      </c>
      <c r="E97" s="16" t="s">
        <v>38</v>
      </c>
      <c r="F97" s="16" t="s">
        <v>38</v>
      </c>
      <c r="G97" s="16" t="s">
        <v>38</v>
      </c>
      <c r="H97" s="16" t="s">
        <v>38</v>
      </c>
      <c r="I97" s="16" t="s">
        <v>38</v>
      </c>
      <c r="J97" s="16" t="s">
        <v>38</v>
      </c>
      <c r="K97" s="16" t="s">
        <v>38</v>
      </c>
      <c r="L97" s="16" t="s">
        <v>38</v>
      </c>
      <c r="M97" s="16" t="s">
        <v>38</v>
      </c>
      <c r="N97" s="16" t="s">
        <v>38</v>
      </c>
      <c r="O97" s="16">
        <v>0.22900000000000001</v>
      </c>
      <c r="P97" s="16">
        <v>0.23699999999999999</v>
      </c>
      <c r="Q97" s="16">
        <v>0.245</v>
      </c>
      <c r="R97" s="16">
        <v>0.252</v>
      </c>
      <c r="S97" s="16">
        <v>0.22500000000000001</v>
      </c>
      <c r="T97" s="16">
        <v>0.216</v>
      </c>
      <c r="U97" s="16">
        <v>0.23300000000000001</v>
      </c>
      <c r="V97" s="16">
        <v>0.22500000000000001</v>
      </c>
      <c r="W97" s="16">
        <v>0.25900000000000001</v>
      </c>
      <c r="X97" s="16">
        <v>0.24199999999999999</v>
      </c>
      <c r="Y97" s="16">
        <v>0.24399999999999999</v>
      </c>
      <c r="Z97" s="16">
        <v>0.20599999999999999</v>
      </c>
      <c r="AA97" s="16">
        <v>0.186</v>
      </c>
      <c r="AB97" s="16">
        <v>0.17899999999999999</v>
      </c>
      <c r="AC97" s="16">
        <v>0.17199999999999999</v>
      </c>
      <c r="AD97" s="16">
        <v>0.17799999999999999</v>
      </c>
      <c r="AE97" s="16">
        <v>0.17599999999999999</v>
      </c>
      <c r="AF97" s="16">
        <v>0.14799999999999999</v>
      </c>
      <c r="AG97" s="16">
        <v>0.22700000000000001</v>
      </c>
      <c r="AH97" s="16" t="s">
        <v>38</v>
      </c>
    </row>
    <row r="98" spans="1:34">
      <c r="A98" s="29">
        <v>69</v>
      </c>
      <c r="B98" s="83">
        <v>254597.82972499999</v>
      </c>
      <c r="C98" s="83">
        <v>4505663.6450399999</v>
      </c>
      <c r="D98" s="16" t="s">
        <v>38</v>
      </c>
      <c r="E98" s="16" t="s">
        <v>38</v>
      </c>
      <c r="F98" s="16" t="s">
        <v>38</v>
      </c>
      <c r="G98" s="16" t="s">
        <v>38</v>
      </c>
      <c r="H98" s="16" t="s">
        <v>38</v>
      </c>
      <c r="I98" s="16" t="s">
        <v>38</v>
      </c>
      <c r="J98" s="16" t="s">
        <v>38</v>
      </c>
      <c r="K98" s="16" t="s">
        <v>38</v>
      </c>
      <c r="L98" s="16" t="s">
        <v>38</v>
      </c>
      <c r="M98" s="16" t="s">
        <v>38</v>
      </c>
      <c r="N98" s="16" t="s">
        <v>38</v>
      </c>
      <c r="O98" s="16" t="s">
        <v>38</v>
      </c>
      <c r="P98" s="16" t="s">
        <v>38</v>
      </c>
      <c r="Q98" s="16" t="s">
        <v>38</v>
      </c>
      <c r="R98" s="16" t="s">
        <v>38</v>
      </c>
      <c r="S98" s="16" t="s">
        <v>38</v>
      </c>
      <c r="T98" s="16" t="s">
        <v>38</v>
      </c>
      <c r="U98" s="16" t="s">
        <v>38</v>
      </c>
      <c r="V98" s="16" t="s">
        <v>38</v>
      </c>
      <c r="W98" s="16" t="s">
        <v>38</v>
      </c>
      <c r="X98" s="16" t="s">
        <v>38</v>
      </c>
      <c r="Y98" s="16" t="s">
        <v>38</v>
      </c>
      <c r="Z98" s="16" t="s">
        <v>38</v>
      </c>
      <c r="AA98" s="16" t="s">
        <v>38</v>
      </c>
      <c r="AB98" s="16" t="s">
        <v>38</v>
      </c>
      <c r="AC98" s="16" t="s">
        <v>38</v>
      </c>
      <c r="AD98" s="16" t="s">
        <v>38</v>
      </c>
      <c r="AE98" s="16" t="s">
        <v>38</v>
      </c>
      <c r="AF98" s="16" t="s">
        <v>38</v>
      </c>
      <c r="AG98" s="16" t="s">
        <v>38</v>
      </c>
      <c r="AH98" s="16" t="s">
        <v>38</v>
      </c>
    </row>
    <row r="99" spans="1:34">
      <c r="A99" s="29">
        <v>70</v>
      </c>
      <c r="B99" s="82">
        <v>254634.17014</v>
      </c>
      <c r="C99" s="82">
        <v>4505678.18004</v>
      </c>
      <c r="D99" s="16" t="s">
        <v>38</v>
      </c>
      <c r="E99" s="16" t="s">
        <v>38</v>
      </c>
      <c r="F99" s="16" t="s">
        <v>38</v>
      </c>
      <c r="G99" s="16" t="s">
        <v>38</v>
      </c>
      <c r="H99" s="16" t="s">
        <v>38</v>
      </c>
      <c r="I99" s="16" t="s">
        <v>38</v>
      </c>
      <c r="J99" s="16" t="s">
        <v>38</v>
      </c>
      <c r="K99" s="16" t="s">
        <v>38</v>
      </c>
      <c r="L99" s="16" t="s">
        <v>38</v>
      </c>
      <c r="M99" s="16" t="s">
        <v>38</v>
      </c>
      <c r="N99" s="16" t="s">
        <v>38</v>
      </c>
      <c r="O99" s="16">
        <v>0.39100000000000001</v>
      </c>
      <c r="P99" s="16">
        <v>0.38800000000000001</v>
      </c>
      <c r="Q99" s="16">
        <v>0.39200000000000002</v>
      </c>
      <c r="R99" s="16">
        <v>0.437</v>
      </c>
      <c r="S99" s="16">
        <v>0.40500000000000003</v>
      </c>
      <c r="T99" s="16">
        <v>0.39</v>
      </c>
      <c r="U99" s="16">
        <v>0.40100000000000002</v>
      </c>
      <c r="V99" s="16">
        <v>0.39200000000000002</v>
      </c>
      <c r="W99" s="16">
        <v>0.41499999999999998</v>
      </c>
      <c r="X99" s="16">
        <v>0.40300000000000002</v>
      </c>
      <c r="Y99" s="16">
        <v>0.40699999999999997</v>
      </c>
      <c r="Z99" s="16">
        <v>0.42099999999999999</v>
      </c>
      <c r="AA99" s="16">
        <v>0.26300000000000001</v>
      </c>
      <c r="AB99" s="16">
        <v>0.28199999999999997</v>
      </c>
      <c r="AC99" s="16">
        <v>0.24099999999999999</v>
      </c>
      <c r="AD99" s="16">
        <v>0.22900000000000001</v>
      </c>
      <c r="AE99" s="16">
        <v>0.22</v>
      </c>
      <c r="AF99" s="16">
        <v>0.22700000000000001</v>
      </c>
      <c r="AG99" s="16" t="s">
        <v>38</v>
      </c>
      <c r="AH99" s="16">
        <v>0.26900000000000002</v>
      </c>
    </row>
    <row r="100" spans="1:34">
      <c r="A100" s="29">
        <v>71</v>
      </c>
      <c r="B100" s="82">
        <v>254591.99662699999</v>
      </c>
      <c r="C100" s="82">
        <v>4505692.3642499996</v>
      </c>
      <c r="D100" s="16" t="s">
        <v>38</v>
      </c>
      <c r="E100" s="16" t="s">
        <v>38</v>
      </c>
      <c r="F100" s="16" t="s">
        <v>38</v>
      </c>
      <c r="G100" s="16" t="s">
        <v>38</v>
      </c>
      <c r="H100" s="16" t="s">
        <v>38</v>
      </c>
      <c r="I100" s="16" t="s">
        <v>38</v>
      </c>
      <c r="J100" s="16" t="s">
        <v>38</v>
      </c>
      <c r="K100" s="16" t="s">
        <v>38</v>
      </c>
      <c r="L100" s="16" t="s">
        <v>38</v>
      </c>
      <c r="M100" s="16" t="s">
        <v>38</v>
      </c>
      <c r="N100" s="16" t="s">
        <v>38</v>
      </c>
      <c r="O100" s="16" t="s">
        <v>38</v>
      </c>
      <c r="P100" s="16" t="s">
        <v>38</v>
      </c>
      <c r="Q100" s="16" t="s">
        <v>38</v>
      </c>
      <c r="R100" s="16" t="s">
        <v>38</v>
      </c>
      <c r="S100" s="16" t="s">
        <v>38</v>
      </c>
      <c r="T100" s="16" t="s">
        <v>38</v>
      </c>
      <c r="U100" s="16" t="s">
        <v>38</v>
      </c>
      <c r="V100" s="16" t="s">
        <v>38</v>
      </c>
      <c r="W100" s="16" t="s">
        <v>38</v>
      </c>
      <c r="X100" s="16" t="s">
        <v>38</v>
      </c>
      <c r="Y100" s="16" t="s">
        <v>38</v>
      </c>
      <c r="Z100" s="16" t="s">
        <v>38</v>
      </c>
      <c r="AA100" s="16" t="s">
        <v>38</v>
      </c>
      <c r="AB100" s="16" t="s">
        <v>38</v>
      </c>
      <c r="AC100" s="16" t="s">
        <v>38</v>
      </c>
      <c r="AD100" s="16" t="s">
        <v>38</v>
      </c>
      <c r="AE100" s="16" t="s">
        <v>38</v>
      </c>
      <c r="AF100" s="16" t="s">
        <v>38</v>
      </c>
      <c r="AG100" s="16" t="s">
        <v>38</v>
      </c>
      <c r="AH100" s="16" t="s">
        <v>38</v>
      </c>
    </row>
    <row r="101" spans="1:34">
      <c r="A101" s="29">
        <v>72</v>
      </c>
      <c r="B101" s="82">
        <v>254645.76749900001</v>
      </c>
      <c r="C101" s="82">
        <v>4505710.0379499998</v>
      </c>
      <c r="D101" s="16" t="s">
        <v>38</v>
      </c>
      <c r="E101" s="16" t="s">
        <v>38</v>
      </c>
      <c r="F101" s="16" t="s">
        <v>38</v>
      </c>
      <c r="G101" s="16" t="s">
        <v>38</v>
      </c>
      <c r="H101" s="16" t="s">
        <v>38</v>
      </c>
      <c r="I101" s="16" t="s">
        <v>38</v>
      </c>
      <c r="J101" s="16" t="s">
        <v>38</v>
      </c>
      <c r="K101" s="16" t="s">
        <v>38</v>
      </c>
      <c r="L101" s="16" t="s">
        <v>38</v>
      </c>
      <c r="M101" s="16" t="s">
        <v>38</v>
      </c>
      <c r="N101" s="16" t="s">
        <v>38</v>
      </c>
      <c r="O101" s="16" t="s">
        <v>38</v>
      </c>
      <c r="P101" s="16" t="s">
        <v>38</v>
      </c>
      <c r="Q101" s="16" t="s">
        <v>38</v>
      </c>
      <c r="R101" s="16" t="s">
        <v>38</v>
      </c>
      <c r="S101" s="16" t="s">
        <v>38</v>
      </c>
      <c r="T101" s="16" t="s">
        <v>38</v>
      </c>
      <c r="U101" s="16" t="s">
        <v>38</v>
      </c>
      <c r="V101" s="16" t="s">
        <v>38</v>
      </c>
      <c r="W101" s="16" t="s">
        <v>38</v>
      </c>
      <c r="X101" s="16" t="s">
        <v>38</v>
      </c>
      <c r="Y101" s="16" t="s">
        <v>38</v>
      </c>
      <c r="Z101" s="16" t="s">
        <v>38</v>
      </c>
      <c r="AA101" s="16" t="s">
        <v>38</v>
      </c>
      <c r="AB101" s="16" t="s">
        <v>38</v>
      </c>
      <c r="AC101" s="16" t="s">
        <v>38</v>
      </c>
      <c r="AD101" s="16" t="s">
        <v>38</v>
      </c>
      <c r="AE101" s="16" t="s">
        <v>38</v>
      </c>
      <c r="AF101" s="16" t="s">
        <v>38</v>
      </c>
      <c r="AG101" s="16" t="s">
        <v>38</v>
      </c>
      <c r="AH101" s="16" t="s">
        <v>38</v>
      </c>
    </row>
    <row r="102" spans="1:34">
      <c r="A102" s="29">
        <v>73</v>
      </c>
      <c r="B102" s="82">
        <v>254636.46085900001</v>
      </c>
      <c r="C102" s="82">
        <v>4505694.7106600003</v>
      </c>
      <c r="D102" s="16" t="s">
        <v>38</v>
      </c>
      <c r="E102" s="16" t="s">
        <v>38</v>
      </c>
      <c r="F102" s="16" t="s">
        <v>38</v>
      </c>
      <c r="G102" s="16" t="s">
        <v>38</v>
      </c>
      <c r="H102" s="16" t="s">
        <v>38</v>
      </c>
      <c r="I102" s="16" t="s">
        <v>38</v>
      </c>
      <c r="J102" s="16" t="s">
        <v>38</v>
      </c>
      <c r="K102" s="16" t="s">
        <v>38</v>
      </c>
      <c r="L102" s="16" t="s">
        <v>38</v>
      </c>
      <c r="M102" s="16" t="s">
        <v>38</v>
      </c>
      <c r="N102" s="16" t="s">
        <v>38</v>
      </c>
      <c r="O102" s="16">
        <v>0.32</v>
      </c>
      <c r="P102" s="16">
        <v>0.32400000000000001</v>
      </c>
      <c r="Q102" s="16">
        <v>0.34</v>
      </c>
      <c r="R102" s="16">
        <v>0.34200000000000003</v>
      </c>
      <c r="S102" s="16">
        <v>0.33100000000000002</v>
      </c>
      <c r="T102" s="16">
        <v>0.32800000000000001</v>
      </c>
      <c r="U102" s="16">
        <v>0.34399999999999997</v>
      </c>
      <c r="V102" s="16">
        <v>0.33300000000000002</v>
      </c>
      <c r="W102" s="16">
        <v>0.34100000000000003</v>
      </c>
      <c r="X102" s="16">
        <v>0.315</v>
      </c>
      <c r="Y102" s="16">
        <v>0.34599999999999997</v>
      </c>
      <c r="Z102" s="16">
        <v>0.28799999999999998</v>
      </c>
      <c r="AA102" s="16">
        <v>0.23499999999999999</v>
      </c>
      <c r="AB102" s="16">
        <v>0.22</v>
      </c>
      <c r="AC102" s="16">
        <v>0.20699999999999999</v>
      </c>
      <c r="AD102" s="16">
        <v>0.154</v>
      </c>
      <c r="AE102" s="16">
        <v>0.22</v>
      </c>
      <c r="AF102" s="16">
        <v>0.223</v>
      </c>
      <c r="AG102" s="16" t="s">
        <v>38</v>
      </c>
      <c r="AH102" s="16">
        <v>0.35799999999999998</v>
      </c>
    </row>
    <row r="103" spans="1:34">
      <c r="A103" s="21">
        <v>74</v>
      </c>
      <c r="B103" s="82">
        <v>254459.02979100001</v>
      </c>
      <c r="C103" s="82">
        <v>4505693.6283600004</v>
      </c>
      <c r="D103" s="16" t="s">
        <v>38</v>
      </c>
      <c r="E103" s="16" t="s">
        <v>38</v>
      </c>
      <c r="F103" s="16" t="s">
        <v>38</v>
      </c>
      <c r="G103" s="16" t="s">
        <v>38</v>
      </c>
      <c r="H103" s="16" t="s">
        <v>38</v>
      </c>
      <c r="I103" s="16" t="s">
        <v>38</v>
      </c>
      <c r="J103" s="16" t="s">
        <v>38</v>
      </c>
      <c r="K103" s="16" t="s">
        <v>38</v>
      </c>
      <c r="L103" s="16" t="s">
        <v>38</v>
      </c>
      <c r="M103" s="16" t="s">
        <v>38</v>
      </c>
      <c r="N103" s="16" t="s">
        <v>38</v>
      </c>
      <c r="O103" s="16" t="s">
        <v>38</v>
      </c>
      <c r="P103" s="16">
        <v>0.14000000000000001</v>
      </c>
      <c r="Q103" s="16" t="s">
        <v>38</v>
      </c>
      <c r="R103" s="16" t="s">
        <v>38</v>
      </c>
      <c r="S103" s="16">
        <v>0.125</v>
      </c>
      <c r="T103" s="16">
        <v>0.10199999999999999</v>
      </c>
      <c r="U103" s="16">
        <v>0.12</v>
      </c>
      <c r="V103" s="16">
        <v>0.121</v>
      </c>
      <c r="W103" s="16" t="s">
        <v>38</v>
      </c>
      <c r="X103" s="16" t="s">
        <v>38</v>
      </c>
      <c r="Y103" s="16">
        <v>0.128</v>
      </c>
      <c r="Z103" s="16">
        <v>0.114</v>
      </c>
      <c r="AA103" s="16" t="s">
        <v>38</v>
      </c>
      <c r="AB103" s="16" t="s">
        <v>38</v>
      </c>
      <c r="AC103" s="16" t="s">
        <v>38</v>
      </c>
      <c r="AD103" s="16" t="s">
        <v>38</v>
      </c>
      <c r="AE103" s="16" t="s">
        <v>38</v>
      </c>
      <c r="AF103" s="16" t="s">
        <v>38</v>
      </c>
      <c r="AG103" s="16" t="s">
        <v>38</v>
      </c>
      <c r="AH103" s="16" t="s">
        <v>38</v>
      </c>
    </row>
    <row r="104" spans="1:34">
      <c r="A104" s="21" t="s">
        <v>35</v>
      </c>
      <c r="B104" s="82">
        <v>254460.35351799999</v>
      </c>
      <c r="C104" s="82">
        <v>4505694.28632</v>
      </c>
      <c r="D104" s="16" t="s">
        <v>38</v>
      </c>
      <c r="E104" s="16" t="s">
        <v>38</v>
      </c>
      <c r="F104" s="16" t="s">
        <v>38</v>
      </c>
      <c r="G104" s="16" t="s">
        <v>38</v>
      </c>
      <c r="H104" s="16" t="s">
        <v>38</v>
      </c>
      <c r="I104" s="16" t="s">
        <v>38</v>
      </c>
      <c r="J104" s="16" t="s">
        <v>38</v>
      </c>
      <c r="K104" s="16" t="s">
        <v>38</v>
      </c>
      <c r="L104" s="16" t="s">
        <v>38</v>
      </c>
      <c r="M104" s="16" t="s">
        <v>38</v>
      </c>
      <c r="N104" s="16" t="s">
        <v>38</v>
      </c>
      <c r="O104" s="16" t="s">
        <v>38</v>
      </c>
      <c r="P104" s="16" t="s">
        <v>38</v>
      </c>
      <c r="Q104" s="16" t="s">
        <v>38</v>
      </c>
      <c r="R104" s="16" t="s">
        <v>38</v>
      </c>
      <c r="S104" s="16" t="s">
        <v>38</v>
      </c>
      <c r="T104" s="16" t="s">
        <v>38</v>
      </c>
      <c r="U104" s="16" t="s">
        <v>38</v>
      </c>
      <c r="V104" s="16" t="s">
        <v>38</v>
      </c>
      <c r="W104" s="16" t="s">
        <v>38</v>
      </c>
      <c r="X104" s="16" t="s">
        <v>38</v>
      </c>
      <c r="Y104" s="16" t="s">
        <v>38</v>
      </c>
      <c r="Z104" s="16" t="s">
        <v>38</v>
      </c>
      <c r="AA104" s="16" t="s">
        <v>38</v>
      </c>
      <c r="AB104" s="16" t="s">
        <v>38</v>
      </c>
      <c r="AC104" s="16" t="s">
        <v>38</v>
      </c>
      <c r="AD104" s="16" t="s">
        <v>38</v>
      </c>
      <c r="AE104" s="16" t="s">
        <v>38</v>
      </c>
      <c r="AF104" s="16" t="s">
        <v>38</v>
      </c>
      <c r="AG104" s="16" t="s">
        <v>38</v>
      </c>
      <c r="AH104" s="16" t="s">
        <v>38</v>
      </c>
    </row>
    <row r="105" spans="1:34">
      <c r="A105" s="21" t="s">
        <v>34</v>
      </c>
      <c r="B105" s="82">
        <v>254459.39995799999</v>
      </c>
      <c r="C105" s="82">
        <v>4505693.0609900001</v>
      </c>
      <c r="D105" s="16" t="s">
        <v>38</v>
      </c>
      <c r="E105" s="16" t="s">
        <v>38</v>
      </c>
      <c r="F105" s="16" t="s">
        <v>38</v>
      </c>
      <c r="G105" s="16" t="s">
        <v>38</v>
      </c>
      <c r="H105" s="16" t="s">
        <v>38</v>
      </c>
      <c r="I105" s="16" t="s">
        <v>38</v>
      </c>
      <c r="J105" s="16" t="s">
        <v>38</v>
      </c>
      <c r="K105" s="16" t="s">
        <v>38</v>
      </c>
      <c r="L105" s="16" t="s">
        <v>38</v>
      </c>
      <c r="M105" s="16" t="s">
        <v>38</v>
      </c>
      <c r="N105" s="16" t="s">
        <v>38</v>
      </c>
      <c r="O105" s="16">
        <v>0.247</v>
      </c>
      <c r="P105" s="16">
        <v>0.255</v>
      </c>
      <c r="Q105" s="16">
        <v>0.245</v>
      </c>
      <c r="R105" s="16">
        <v>0.26600000000000001</v>
      </c>
      <c r="S105" s="16">
        <v>0.24399999999999999</v>
      </c>
      <c r="T105" s="16">
        <v>0.216</v>
      </c>
      <c r="U105" s="16">
        <v>0.23599999999999999</v>
      </c>
      <c r="V105" s="16">
        <v>0.22500000000000001</v>
      </c>
      <c r="W105" s="16">
        <v>0.23899999999999999</v>
      </c>
      <c r="X105" s="16">
        <v>0.253</v>
      </c>
      <c r="Y105" s="16">
        <v>0.25900000000000001</v>
      </c>
      <c r="Z105" s="16" t="s">
        <v>38</v>
      </c>
      <c r="AA105" s="16">
        <v>0.20599999999999999</v>
      </c>
      <c r="AB105" s="16">
        <v>0.19600000000000001</v>
      </c>
      <c r="AC105" s="16">
        <v>0.19700000000000001</v>
      </c>
      <c r="AD105" s="16">
        <v>0.185</v>
      </c>
      <c r="AE105" s="16" t="s">
        <v>38</v>
      </c>
      <c r="AF105" s="16">
        <v>0.192</v>
      </c>
      <c r="AG105" s="16">
        <v>0.2</v>
      </c>
      <c r="AH105" s="16" t="s">
        <v>38</v>
      </c>
    </row>
    <row r="106" spans="1:34">
      <c r="A106" s="21" t="s">
        <v>36</v>
      </c>
      <c r="B106" s="82">
        <v>254457.54797300001</v>
      </c>
      <c r="C106" s="82">
        <v>4505693.1189799998</v>
      </c>
      <c r="D106" s="16" t="s">
        <v>38</v>
      </c>
      <c r="E106" s="16" t="s">
        <v>38</v>
      </c>
      <c r="F106" s="16" t="s">
        <v>38</v>
      </c>
      <c r="G106" s="16" t="s">
        <v>38</v>
      </c>
      <c r="H106" s="16" t="s">
        <v>38</v>
      </c>
      <c r="I106" s="16" t="s">
        <v>38</v>
      </c>
      <c r="J106" s="16" t="s">
        <v>38</v>
      </c>
      <c r="K106" s="16" t="s">
        <v>38</v>
      </c>
      <c r="L106" s="16" t="s">
        <v>38</v>
      </c>
      <c r="M106" s="16" t="s">
        <v>38</v>
      </c>
      <c r="N106" s="16" t="s">
        <v>38</v>
      </c>
      <c r="O106" s="16">
        <v>0.32600000000000001</v>
      </c>
      <c r="P106" s="16">
        <v>0.34100000000000003</v>
      </c>
      <c r="Q106" s="16">
        <v>0.34899999999999998</v>
      </c>
      <c r="R106" s="16">
        <v>0.38300000000000001</v>
      </c>
      <c r="S106" s="16">
        <v>0.34599999999999997</v>
      </c>
      <c r="T106" s="16">
        <v>0.32800000000000001</v>
      </c>
      <c r="U106" s="16">
        <v>0.33900000000000002</v>
      </c>
      <c r="V106" s="16">
        <v>0.34699999999999998</v>
      </c>
      <c r="W106" s="16">
        <v>0.36299999999999999</v>
      </c>
      <c r="X106" s="16">
        <v>0.33</v>
      </c>
      <c r="Y106" s="16">
        <v>0.30099999999999999</v>
      </c>
      <c r="Z106" s="16" t="s">
        <v>38</v>
      </c>
      <c r="AA106" s="16">
        <v>0.22</v>
      </c>
      <c r="AB106" s="16">
        <v>0.247</v>
      </c>
      <c r="AC106" s="16" t="s">
        <v>38</v>
      </c>
      <c r="AD106" s="16">
        <v>0.222</v>
      </c>
      <c r="AE106" s="16" t="s">
        <v>38</v>
      </c>
      <c r="AF106" s="16">
        <v>0.2</v>
      </c>
      <c r="AG106" s="16" t="s">
        <v>38</v>
      </c>
      <c r="AH106" s="16">
        <v>0.35</v>
      </c>
    </row>
    <row r="107" spans="1:34">
      <c r="A107" s="21" t="s">
        <v>37</v>
      </c>
      <c r="B107" s="82">
        <v>254458.456752</v>
      </c>
      <c r="C107" s="82">
        <v>4505694.83213</v>
      </c>
      <c r="D107" s="16" t="s">
        <v>38</v>
      </c>
      <c r="E107" s="16" t="s">
        <v>38</v>
      </c>
      <c r="F107" s="16" t="s">
        <v>38</v>
      </c>
      <c r="G107" s="16" t="s">
        <v>38</v>
      </c>
      <c r="H107" s="16" t="s">
        <v>38</v>
      </c>
      <c r="I107" s="16" t="s">
        <v>38</v>
      </c>
      <c r="J107" s="16" t="s">
        <v>38</v>
      </c>
      <c r="K107" s="16" t="s">
        <v>38</v>
      </c>
      <c r="L107" s="16" t="s">
        <v>38</v>
      </c>
      <c r="M107" s="16" t="s">
        <v>38</v>
      </c>
      <c r="N107" s="16" t="s">
        <v>38</v>
      </c>
      <c r="O107" s="16" t="s">
        <v>38</v>
      </c>
      <c r="P107" s="16" t="s">
        <v>38</v>
      </c>
      <c r="Q107" s="16" t="s">
        <v>38</v>
      </c>
      <c r="R107" s="16" t="s">
        <v>38</v>
      </c>
      <c r="S107" s="16" t="s">
        <v>38</v>
      </c>
      <c r="T107" s="16" t="s">
        <v>38</v>
      </c>
      <c r="U107" s="16" t="s">
        <v>38</v>
      </c>
      <c r="V107" s="16" t="s">
        <v>38</v>
      </c>
      <c r="W107" s="16" t="s">
        <v>38</v>
      </c>
      <c r="X107" s="16" t="s">
        <v>38</v>
      </c>
      <c r="Y107" s="16" t="s">
        <v>38</v>
      </c>
      <c r="Z107" s="16" t="s">
        <v>38</v>
      </c>
      <c r="AA107" s="16" t="s">
        <v>38</v>
      </c>
      <c r="AB107" s="16" t="s">
        <v>38</v>
      </c>
      <c r="AC107" s="16" t="s">
        <v>38</v>
      </c>
      <c r="AD107" s="16" t="s">
        <v>38</v>
      </c>
      <c r="AE107" s="16" t="s">
        <v>38</v>
      </c>
      <c r="AF107" s="16" t="s">
        <v>38</v>
      </c>
      <c r="AG107" s="16" t="s">
        <v>38</v>
      </c>
      <c r="AH107" s="16" t="s">
        <v>38</v>
      </c>
    </row>
  </sheetData>
  <phoneticPr fontId="27" type="noConversion"/>
  <pageMargins left="0.75" right="0.75" top="1" bottom="1" header="0.5" footer="0.5"/>
  <headerFooter alignWithMargins="0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Leaf Area Index</vt:lpstr>
      <vt:lpstr>Percent Canopy Closure</vt:lpstr>
      <vt:lpstr>SM10cm</vt:lpstr>
      <vt:lpstr>SM20cm</vt:lpstr>
      <vt:lpstr>SM40cm</vt:lpstr>
      <vt:lpstr>SM60cm</vt:lpstr>
      <vt:lpstr>SM80cm</vt:lpstr>
      <vt:lpstr>SM100cm</vt:lpstr>
      <vt:lpstr>Deepest</vt:lpstr>
    </vt:vector>
  </TitlesOfParts>
  <Company>psu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kjn18</dc:creator>
  <cp:lastModifiedBy>Dan K. Arthur</cp:lastModifiedBy>
  <dcterms:created xsi:type="dcterms:W3CDTF">2010-08-26T16:52:41Z</dcterms:created>
  <dcterms:modified xsi:type="dcterms:W3CDTF">2015-10-14T18:19:18Z</dcterms:modified>
</cp:coreProperties>
</file>